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nergyfs1\home\azelenk\My Documents\TIGHGER\"/>
    </mc:Choice>
  </mc:AlternateContent>
  <xr:revisionPtr revIDLastSave="0" documentId="13_ncr:1_{52116FF0-B06E-4C57-AB90-212B27D1704C}" xr6:coauthVersionLast="47" xr6:coauthVersionMax="47" xr10:uidLastSave="{00000000-0000-0000-0000-000000000000}"/>
  <bookViews>
    <workbookView xWindow="-120" yWindow="-120" windowWidth="29040" windowHeight="15225" tabRatio="934" activeTab="4" xr2:uid="{07C88E46-C5A4-41E2-BCF4-75B257C1E842}"/>
  </bookViews>
  <sheets>
    <sheet name="Updated Proposal" sheetId="1" r:id="rId1"/>
    <sheet name="Eval Crit List" sheetId="9" r:id="rId2"/>
    <sheet name="List of Actions" sheetId="13" r:id="rId3"/>
    <sheet name="Data" sheetId="8" r:id="rId4"/>
    <sheet name="Scoring" sheetId="10" r:id="rId5"/>
    <sheet name="GHG Reduction Ranking" sheetId="14" r:id="rId6"/>
    <sheet name="C-E Ranking" sheetId="12" r:id="rId7"/>
    <sheet name="Eval Crtiteria Ranking" sheetId="11" r:id="rId8"/>
    <sheet name="Co-Benefits Ranking" sheetId="16" r:id="rId9"/>
    <sheet name="Ranking Comparison" sheetId="15" r:id="rId10"/>
    <sheet name="GHG Reduction Scoring Bin" sheetId="3" r:id="rId11"/>
    <sheet name="Cost-Effectiveness Scoring Bin" sheetId="2" r:id="rId12"/>
    <sheet name="Equity Scoring Bin" sheetId="6" r:id="rId13"/>
    <sheet name="Health Scoring Bin" sheetId="4" r:id="rId14"/>
    <sheet name="Jobs-Econ Prosp Scoring Bin" sheetId="5" r:id="rId15"/>
    <sheet name="Risk &amp; Uncertainty Scoring Bin" sheetId="7" r:id="rId16"/>
  </sheets>
  <externalReferences>
    <externalReference r:id="rId17"/>
  </externalReferences>
  <definedNames>
    <definedName name="_xlnm.Print_Area" localSheetId="0">'Updated Proposal'!$A$1:$F$11</definedName>
    <definedName name="_xlnm.Print_Titles" localSheetId="0">'Updated Proposal'!$1:$3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0" l="1"/>
  <c r="C21" i="9"/>
  <c r="C20" i="9"/>
  <c r="C19" i="9"/>
  <c r="C18" i="9"/>
  <c r="C17" i="9"/>
  <c r="C16" i="9"/>
  <c r="O11" i="15" l="1"/>
  <c r="O10" i="15"/>
  <c r="O9" i="15"/>
  <c r="O8" i="15"/>
  <c r="O7" i="15"/>
  <c r="O6" i="15"/>
  <c r="O5" i="15"/>
  <c r="O4" i="15"/>
  <c r="O21" i="15"/>
  <c r="O20" i="15"/>
  <c r="O19" i="15"/>
  <c r="O18" i="15"/>
  <c r="O17" i="15"/>
  <c r="O16" i="15"/>
  <c r="O15" i="15"/>
  <c r="O14" i="15"/>
  <c r="N3" i="15"/>
  <c r="M3" i="15"/>
  <c r="AI11" i="15"/>
  <c r="M9" i="5"/>
  <c r="L10" i="5" s="1"/>
  <c r="M10" i="5"/>
  <c r="L11" i="5" s="1"/>
  <c r="M11" i="5"/>
  <c r="L12" i="5" s="1"/>
  <c r="M12" i="5"/>
  <c r="L13" i="5" s="1"/>
  <c r="M13" i="5"/>
  <c r="L14" i="5" s="1"/>
  <c r="M14" i="5"/>
  <c r="L15" i="5" s="1"/>
  <c r="M15" i="5"/>
  <c r="L16" i="5" s="1"/>
  <c r="M16" i="5"/>
  <c r="L17" i="5" s="1"/>
  <c r="M17" i="5"/>
  <c r="L18" i="5" s="1"/>
  <c r="M18" i="5"/>
  <c r="O26" i="8"/>
  <c r="D30" i="5" s="1"/>
  <c r="O27" i="8"/>
  <c r="D31" i="5" s="1"/>
  <c r="O28" i="8"/>
  <c r="D37" i="5" s="1"/>
  <c r="O25" i="8"/>
  <c r="D36" i="5" s="1"/>
  <c r="I22" i="4"/>
  <c r="C17" i="4" s="1"/>
  <c r="B18" i="4" s="1"/>
  <c r="I23" i="4"/>
  <c r="C16" i="4" s="1"/>
  <c r="B17" i="4" s="1"/>
  <c r="I24" i="4"/>
  <c r="C15" i="4" s="1"/>
  <c r="B16" i="4" s="1"/>
  <c r="I25" i="4"/>
  <c r="C14" i="4" s="1"/>
  <c r="B15" i="4" s="1"/>
  <c r="I26" i="4"/>
  <c r="C13" i="4" s="1"/>
  <c r="B14" i="4" s="1"/>
  <c r="I27" i="4"/>
  <c r="C12" i="4" s="1"/>
  <c r="B13" i="4" s="1"/>
  <c r="I28" i="4"/>
  <c r="C11" i="4" s="1"/>
  <c r="B12" i="4" s="1"/>
  <c r="I29" i="4"/>
  <c r="C10" i="4" s="1"/>
  <c r="B11" i="4" s="1"/>
  <c r="I30" i="4"/>
  <c r="C9" i="4" s="1"/>
  <c r="B10" i="4" s="1"/>
  <c r="I21" i="4"/>
  <c r="C18" i="4" s="1"/>
  <c r="C9" i="6"/>
  <c r="B10" i="6" s="1"/>
  <c r="C10" i="6"/>
  <c r="B11" i="6" s="1"/>
  <c r="C11" i="6"/>
  <c r="B12" i="6" s="1"/>
  <c r="C12" i="6"/>
  <c r="B13" i="6" s="1"/>
  <c r="C13" i="6"/>
  <c r="B14" i="6" s="1"/>
  <c r="C14" i="6"/>
  <c r="B15" i="6" s="1"/>
  <c r="C15" i="6"/>
  <c r="B16" i="6" s="1"/>
  <c r="C16" i="6"/>
  <c r="B17" i="6" s="1"/>
  <c r="C17" i="6"/>
  <c r="B18" i="6" s="1"/>
  <c r="B30" i="10" l="1"/>
  <c r="B31" i="10"/>
  <c r="B32" i="10"/>
  <c r="B29" i="10"/>
  <c r="A20" i="10"/>
  <c r="A21" i="10"/>
  <c r="A22" i="10"/>
  <c r="A23" i="10"/>
  <c r="A24" i="10"/>
  <c r="A25" i="10"/>
  <c r="A26" i="10"/>
  <c r="A27" i="10"/>
  <c r="A28" i="10"/>
  <c r="A29" i="10"/>
  <c r="A30" i="10"/>
  <c r="A31" i="10"/>
  <c r="A32" i="10"/>
  <c r="Q26" i="8"/>
  <c r="M43" i="6" s="1"/>
  <c r="Q27" i="8"/>
  <c r="M44" i="6" s="1"/>
  <c r="Q28" i="8"/>
  <c r="M45" i="6" s="1"/>
  <c r="Q25" i="8"/>
  <c r="Q24" i="8"/>
  <c r="Q9" i="8"/>
  <c r="H23" i="8"/>
  <c r="P23" i="8" s="1"/>
  <c r="N26" i="8"/>
  <c r="N27" i="8"/>
  <c r="N28" i="8"/>
  <c r="N25" i="8"/>
  <c r="E26" i="8"/>
  <c r="F26" i="8"/>
  <c r="G26" i="8"/>
  <c r="H26" i="8"/>
  <c r="P26" i="8" s="1"/>
  <c r="I26" i="8"/>
  <c r="J26" i="8"/>
  <c r="K26" i="8"/>
  <c r="L26" i="8"/>
  <c r="M26" i="8"/>
  <c r="E27" i="8"/>
  <c r="F27" i="8"/>
  <c r="G27" i="8"/>
  <c r="H27" i="8"/>
  <c r="I27" i="8"/>
  <c r="J27" i="8"/>
  <c r="K27" i="8"/>
  <c r="L27" i="8"/>
  <c r="M27" i="8"/>
  <c r="P27" i="8"/>
  <c r="E28" i="8"/>
  <c r="F28" i="8"/>
  <c r="G28" i="8"/>
  <c r="H28" i="8"/>
  <c r="P28" i="8" s="1"/>
  <c r="I28" i="8"/>
  <c r="J28" i="8"/>
  <c r="K28" i="8"/>
  <c r="L28" i="8"/>
  <c r="M28" i="8"/>
  <c r="E25" i="8"/>
  <c r="F25" i="8"/>
  <c r="G25" i="8"/>
  <c r="H25" i="8"/>
  <c r="P25" i="8" s="1"/>
  <c r="I25" i="8"/>
  <c r="J25" i="8"/>
  <c r="K25" i="8"/>
  <c r="L25" i="8"/>
  <c r="M25" i="8"/>
  <c r="B26" i="8"/>
  <c r="B27" i="8"/>
  <c r="B28" i="8"/>
  <c r="B25" i="8"/>
  <c r="O24" i="8"/>
  <c r="D24" i="5" s="1"/>
  <c r="N24" i="8"/>
  <c r="F24" i="8"/>
  <c r="G24" i="8"/>
  <c r="H24" i="8"/>
  <c r="I24" i="8"/>
  <c r="J24" i="8"/>
  <c r="K24" i="8"/>
  <c r="E24" i="8"/>
  <c r="E20" i="8"/>
  <c r="F20" i="8"/>
  <c r="G20" i="8"/>
  <c r="H20" i="8"/>
  <c r="I20" i="8"/>
  <c r="J20" i="8"/>
  <c r="K20" i="8"/>
  <c r="L20" i="8"/>
  <c r="M20" i="8"/>
  <c r="N20" i="8"/>
  <c r="O20" i="8"/>
  <c r="P20" i="8"/>
  <c r="Q20" i="8"/>
  <c r="E21" i="8"/>
  <c r="F21" i="8"/>
  <c r="G21" i="8"/>
  <c r="H21" i="8"/>
  <c r="I21" i="8"/>
  <c r="J21" i="8"/>
  <c r="K21" i="8"/>
  <c r="L21" i="8"/>
  <c r="M21" i="8"/>
  <c r="N21" i="8"/>
  <c r="O21" i="8"/>
  <c r="P21" i="8"/>
  <c r="Q21" i="8"/>
  <c r="E22" i="8"/>
  <c r="F22" i="8"/>
  <c r="G22" i="8"/>
  <c r="H22" i="8"/>
  <c r="I22" i="8"/>
  <c r="J22" i="8"/>
  <c r="K22" i="8"/>
  <c r="L22" i="8"/>
  <c r="M22" i="8"/>
  <c r="N22" i="8"/>
  <c r="O22" i="8"/>
  <c r="P22" i="8"/>
  <c r="Q22" i="8"/>
  <c r="E23" i="8"/>
  <c r="F23" i="8"/>
  <c r="G23" i="8"/>
  <c r="I23" i="8"/>
  <c r="J23" i="8"/>
  <c r="K23" i="8"/>
  <c r="L23" i="8"/>
  <c r="M23" i="8"/>
  <c r="N23" i="8"/>
  <c r="O23" i="8"/>
  <c r="D23" i="5" s="1"/>
  <c r="Q23" i="8"/>
  <c r="Q19" i="8"/>
  <c r="O19" i="8"/>
  <c r="N19" i="8"/>
  <c r="F19" i="8"/>
  <c r="G19" i="8"/>
  <c r="H19" i="8"/>
  <c r="P19" i="8" s="1"/>
  <c r="I19" i="8"/>
  <c r="J19" i="8"/>
  <c r="K19" i="8"/>
  <c r="E19" i="8"/>
  <c r="Q18" i="8"/>
  <c r="O18" i="8"/>
  <c r="N18" i="8"/>
  <c r="F18" i="8"/>
  <c r="G18" i="8"/>
  <c r="H18" i="8"/>
  <c r="P18" i="8" s="1"/>
  <c r="I18" i="8"/>
  <c r="J18" i="8"/>
  <c r="K18" i="8"/>
  <c r="E18" i="8"/>
  <c r="Q17" i="8"/>
  <c r="O17" i="8"/>
  <c r="N17" i="8"/>
  <c r="F17" i="8"/>
  <c r="G17" i="8"/>
  <c r="H17" i="8"/>
  <c r="I17" i="8"/>
  <c r="J17" i="8"/>
  <c r="K17" i="8"/>
  <c r="E17" i="8"/>
  <c r="E11" i="8"/>
  <c r="F11" i="8"/>
  <c r="G11" i="8"/>
  <c r="H11" i="8"/>
  <c r="I11" i="8"/>
  <c r="J11" i="8"/>
  <c r="K11" i="8"/>
  <c r="L11" i="8"/>
  <c r="M11" i="8"/>
  <c r="N11" i="8"/>
  <c r="O11" i="8"/>
  <c r="P11" i="8"/>
  <c r="Q11" i="8"/>
  <c r="E12" i="8"/>
  <c r="F12" i="8"/>
  <c r="G12" i="8"/>
  <c r="H12" i="8"/>
  <c r="I12" i="8"/>
  <c r="J12" i="8"/>
  <c r="K12" i="8"/>
  <c r="L12" i="8"/>
  <c r="M12" i="8"/>
  <c r="N12" i="8"/>
  <c r="O12" i="8"/>
  <c r="P12" i="8"/>
  <c r="Q12" i="8"/>
  <c r="E13" i="8"/>
  <c r="F13" i="8"/>
  <c r="G13" i="8"/>
  <c r="H13" i="8"/>
  <c r="I13" i="8"/>
  <c r="J13" i="8"/>
  <c r="K13" i="8"/>
  <c r="L13" i="8"/>
  <c r="M13" i="8"/>
  <c r="N13" i="8"/>
  <c r="O13" i="8"/>
  <c r="P13" i="8"/>
  <c r="Q13" i="8"/>
  <c r="M30" i="6" s="1"/>
  <c r="E14" i="8"/>
  <c r="F14" i="8"/>
  <c r="G14" i="8"/>
  <c r="H14" i="8"/>
  <c r="I14" i="8"/>
  <c r="J14" i="8"/>
  <c r="K14" i="8"/>
  <c r="L14" i="8"/>
  <c r="M14" i="8"/>
  <c r="N14" i="8"/>
  <c r="O14" i="8"/>
  <c r="P14" i="8"/>
  <c r="Q14" i="8"/>
  <c r="E15" i="8"/>
  <c r="F15" i="8"/>
  <c r="G15" i="8"/>
  <c r="H15" i="8"/>
  <c r="P15" i="8" s="1"/>
  <c r="I15" i="8"/>
  <c r="J15" i="8"/>
  <c r="K15" i="8"/>
  <c r="L15" i="8"/>
  <c r="M15" i="8"/>
  <c r="N15" i="8"/>
  <c r="O15" i="8"/>
  <c r="Q15" i="8"/>
  <c r="E16" i="8"/>
  <c r="F16" i="8"/>
  <c r="G16" i="8"/>
  <c r="H16" i="8"/>
  <c r="I16" i="8"/>
  <c r="J16" i="8"/>
  <c r="K16" i="8"/>
  <c r="L16" i="8"/>
  <c r="M16" i="8"/>
  <c r="N16" i="8"/>
  <c r="O16" i="8"/>
  <c r="D29" i="5" s="1"/>
  <c r="G29" i="5" s="1"/>
  <c r="P16" i="8"/>
  <c r="Q16" i="8"/>
  <c r="Q10" i="8"/>
  <c r="O10" i="8"/>
  <c r="N10" i="8"/>
  <c r="F10" i="8"/>
  <c r="G10" i="8"/>
  <c r="H10" i="8"/>
  <c r="P10" i="8" s="1"/>
  <c r="I10" i="8"/>
  <c r="J10" i="8"/>
  <c r="K10" i="8"/>
  <c r="E10" i="8"/>
  <c r="O9" i="8"/>
  <c r="N9" i="8"/>
  <c r="F9" i="8"/>
  <c r="G9" i="8"/>
  <c r="H9" i="8"/>
  <c r="P9" i="8" s="1"/>
  <c r="I9" i="8"/>
  <c r="J9" i="8"/>
  <c r="K9" i="8"/>
  <c r="E9" i="8"/>
  <c r="E5" i="8"/>
  <c r="F5" i="8"/>
  <c r="G5" i="8"/>
  <c r="H5" i="8"/>
  <c r="I5" i="8"/>
  <c r="J5" i="8"/>
  <c r="K5" i="8"/>
  <c r="L5" i="8"/>
  <c r="M5" i="8"/>
  <c r="N5" i="8"/>
  <c r="O5" i="8"/>
  <c r="P5" i="8"/>
  <c r="Q5" i="8"/>
  <c r="E6" i="8"/>
  <c r="F6" i="8"/>
  <c r="G6" i="8"/>
  <c r="H6" i="8"/>
  <c r="I6" i="8"/>
  <c r="J6" i="8"/>
  <c r="K6" i="8"/>
  <c r="L6" i="8"/>
  <c r="M6" i="8"/>
  <c r="N6" i="8"/>
  <c r="O6" i="8"/>
  <c r="P6" i="8"/>
  <c r="Q6" i="8"/>
  <c r="E7" i="8"/>
  <c r="F7" i="8"/>
  <c r="G7" i="8"/>
  <c r="H7" i="8"/>
  <c r="I7" i="8"/>
  <c r="J7" i="8"/>
  <c r="K7" i="8"/>
  <c r="L7" i="8"/>
  <c r="M7" i="8"/>
  <c r="N7" i="8"/>
  <c r="O7" i="8"/>
  <c r="P7" i="8"/>
  <c r="Q7" i="8"/>
  <c r="E8" i="8"/>
  <c r="F8" i="8"/>
  <c r="G8" i="8"/>
  <c r="H8" i="8"/>
  <c r="I8" i="8"/>
  <c r="J8" i="8"/>
  <c r="K8" i="8"/>
  <c r="L8" i="8"/>
  <c r="M8" i="8"/>
  <c r="N8" i="8"/>
  <c r="O8" i="8"/>
  <c r="P8" i="8"/>
  <c r="Q8" i="8"/>
  <c r="L9" i="8"/>
  <c r="M9" i="8"/>
  <c r="L10" i="8"/>
  <c r="M10" i="8"/>
  <c r="L17" i="8"/>
  <c r="M17" i="8"/>
  <c r="P17" i="8"/>
  <c r="L18" i="8"/>
  <c r="M18" i="8"/>
  <c r="L19" i="8"/>
  <c r="M19" i="8"/>
  <c r="L24" i="8"/>
  <c r="M24" i="8"/>
  <c r="P24" i="8"/>
  <c r="A6" i="8"/>
  <c r="A7" i="8"/>
  <c r="A8" i="8"/>
  <c r="A9" i="8"/>
  <c r="A10" i="8"/>
  <c r="A11" i="8"/>
  <c r="A12" i="8"/>
  <c r="A13" i="8"/>
  <c r="A14" i="8"/>
  <c r="A15" i="8"/>
  <c r="A16" i="8"/>
  <c r="A17" i="8"/>
  <c r="A18" i="8"/>
  <c r="A19" i="8"/>
  <c r="A20" i="8"/>
  <c r="A21" i="8"/>
  <c r="A22" i="8"/>
  <c r="A23" i="8"/>
  <c r="A24" i="8"/>
  <c r="A25" i="8"/>
  <c r="A26" i="8"/>
  <c r="A27" i="8"/>
  <c r="A28" i="8"/>
  <c r="Q4" i="8"/>
  <c r="M24" i="6" s="1"/>
  <c r="O4" i="8"/>
  <c r="N4" i="8"/>
  <c r="J4" i="8"/>
  <c r="K4" i="8"/>
  <c r="F4" i="8"/>
  <c r="G4" i="8"/>
  <c r="H4" i="8"/>
  <c r="I4" i="8"/>
  <c r="E4" i="8"/>
  <c r="E6" i="9"/>
  <c r="D6" i="9"/>
  <c r="C6" i="9"/>
  <c r="AN3" i="15"/>
  <c r="AM3" i="15"/>
  <c r="AI10" i="15"/>
  <c r="AI8" i="15"/>
  <c r="AI6" i="15"/>
  <c r="AI9" i="15"/>
  <c r="AI7" i="15"/>
  <c r="AI24" i="15"/>
  <c r="AI13" i="15"/>
  <c r="AI15" i="15"/>
  <c r="AI14" i="15"/>
  <c r="AI22" i="15"/>
  <c r="AI19" i="15"/>
  <c r="AI28" i="15"/>
  <c r="AI5" i="15"/>
  <c r="AI16" i="15"/>
  <c r="AI25" i="15"/>
  <c r="AI20" i="15"/>
  <c r="AI27" i="15"/>
  <c r="AI23" i="15"/>
  <c r="AI26" i="15"/>
  <c r="AI18" i="15"/>
  <c r="AI4" i="15"/>
  <c r="AI21" i="15"/>
  <c r="AI17" i="15"/>
  <c r="AI12" i="15"/>
  <c r="B9" i="2"/>
  <c r="B10" i="2"/>
  <c r="B11" i="2"/>
  <c r="B12" i="2"/>
  <c r="B13" i="2"/>
  <c r="B14" i="2"/>
  <c r="B15" i="2"/>
  <c r="B16" i="2"/>
  <c r="B17" i="2"/>
  <c r="B8" i="2"/>
  <c r="C8" i="3"/>
  <c r="C9" i="3"/>
  <c r="C11" i="3"/>
  <c r="C10" i="3"/>
  <c r="C12" i="3"/>
  <c r="C13" i="3"/>
  <c r="C14" i="3"/>
  <c r="C15" i="3"/>
  <c r="C16" i="3"/>
  <c r="C17" i="3"/>
  <c r="D44" i="6" l="1"/>
  <c r="F44" i="6" s="1"/>
  <c r="D32" i="6"/>
  <c r="D36" i="6"/>
  <c r="F36" i="6" s="1"/>
  <c r="C17" i="13" l="1"/>
  <c r="C18" i="13" s="1"/>
  <c r="C19" i="13" s="1"/>
  <c r="C20" i="13" s="1"/>
  <c r="C21" i="13" s="1"/>
  <c r="C22" i="13" s="1"/>
  <c r="C23" i="13" s="1"/>
  <c r="C24" i="13" s="1"/>
  <c r="C25" i="13" s="1"/>
  <c r="C26" i="13" s="1"/>
  <c r="AA3" i="15"/>
  <c r="Z3" i="15"/>
  <c r="I11" i="15"/>
  <c r="I10" i="15"/>
  <c r="I25" i="15"/>
  <c r="I16" i="15"/>
  <c r="I17" i="15"/>
  <c r="I7" i="15"/>
  <c r="I6" i="15"/>
  <c r="I27" i="15"/>
  <c r="I20" i="15"/>
  <c r="I21" i="15"/>
  <c r="I13" i="15"/>
  <c r="I8" i="15"/>
  <c r="I19" i="15"/>
  <c r="I28" i="15"/>
  <c r="I14" i="15"/>
  <c r="I12" i="15"/>
  <c r="I24" i="15"/>
  <c r="I23" i="15"/>
  <c r="I22" i="15"/>
  <c r="I4" i="15"/>
  <c r="I5" i="15"/>
  <c r="I9" i="15"/>
  <c r="I15" i="15"/>
  <c r="I18" i="15"/>
  <c r="I26" i="15"/>
  <c r="D24" i="15"/>
  <c r="D4" i="15"/>
  <c r="AJ26" i="15" s="1"/>
  <c r="D18" i="15"/>
  <c r="D17" i="15"/>
  <c r="D19" i="15"/>
  <c r="D20" i="15"/>
  <c r="D21" i="15"/>
  <c r="D22" i="15"/>
  <c r="D16" i="15"/>
  <c r="D6" i="15"/>
  <c r="D13" i="15"/>
  <c r="D14" i="15"/>
  <c r="AJ17" i="15" s="1"/>
  <c r="D28" i="15"/>
  <c r="D23" i="15"/>
  <c r="D25" i="15"/>
  <c r="D27" i="15"/>
  <c r="D26" i="15"/>
  <c r="AJ19" i="15" s="1"/>
  <c r="D8" i="15"/>
  <c r="AJ4" i="15" s="1"/>
  <c r="D7" i="15"/>
  <c r="D9" i="15"/>
  <c r="D11" i="15"/>
  <c r="D10" i="15"/>
  <c r="D15" i="15"/>
  <c r="AJ23" i="15" s="1"/>
  <c r="D12" i="15"/>
  <c r="D5" i="15"/>
  <c r="AJ28" i="15" s="1"/>
  <c r="V11" i="15"/>
  <c r="V6" i="15"/>
  <c r="V12" i="15"/>
  <c r="V7" i="15"/>
  <c r="V8" i="15"/>
  <c r="V26" i="15"/>
  <c r="V25" i="15"/>
  <c r="V24" i="15"/>
  <c r="V13" i="15"/>
  <c r="V19" i="15"/>
  <c r="V16" i="15"/>
  <c r="V14" i="15"/>
  <c r="V22" i="15"/>
  <c r="V5" i="15"/>
  <c r="V9" i="15"/>
  <c r="V20" i="15"/>
  <c r="V28" i="15"/>
  <c r="V21" i="15"/>
  <c r="V17" i="15"/>
  <c r="V27" i="15"/>
  <c r="V4" i="15"/>
  <c r="V15" i="15"/>
  <c r="V23" i="15"/>
  <c r="V18" i="15"/>
  <c r="V10" i="15"/>
  <c r="C21" i="14"/>
  <c r="M22" i="6"/>
  <c r="M25" i="6"/>
  <c r="M26" i="6"/>
  <c r="M23" i="6"/>
  <c r="M21" i="6"/>
  <c r="Q30" i="8"/>
  <c r="C27" i="13" l="1"/>
  <c r="C28" i="13" s="1"/>
  <c r="C29" i="13" s="1"/>
  <c r="C38" i="13"/>
  <c r="AJ18" i="15"/>
  <c r="AO16" i="15" s="1"/>
  <c r="AJ11" i="15"/>
  <c r="AJ5" i="15"/>
  <c r="AJ7" i="15"/>
  <c r="AJ13" i="15"/>
  <c r="AD8" i="15"/>
  <c r="AJ24" i="15"/>
  <c r="AJ12" i="15"/>
  <c r="AO6" i="15" s="1"/>
  <c r="AJ8" i="15"/>
  <c r="AJ10" i="15"/>
  <c r="AJ20" i="15"/>
  <c r="AO14" i="15" s="1"/>
  <c r="AJ9" i="15"/>
  <c r="AJ27" i="15"/>
  <c r="AO18" i="15" s="1"/>
  <c r="AJ15" i="15"/>
  <c r="AO8" i="15" s="1"/>
  <c r="R21" i="6"/>
  <c r="AJ22" i="15"/>
  <c r="AO19" i="15" s="1"/>
  <c r="W24" i="15"/>
  <c r="AJ14" i="15"/>
  <c r="AJ16" i="15"/>
  <c r="AO20" i="15" s="1"/>
  <c r="AJ21" i="15"/>
  <c r="AO17" i="15" s="1"/>
  <c r="AJ25" i="15"/>
  <c r="AO15" i="15" s="1"/>
  <c r="AJ6" i="15"/>
  <c r="AO11" i="15" s="1"/>
  <c r="J25" i="15"/>
  <c r="J20" i="15"/>
  <c r="J16" i="15"/>
  <c r="J7" i="15"/>
  <c r="J26" i="15"/>
  <c r="W8" i="15"/>
  <c r="AB6" i="15" s="1"/>
  <c r="W25" i="15"/>
  <c r="AB8" i="15" s="1"/>
  <c r="J11" i="15"/>
  <c r="J17" i="15"/>
  <c r="J12" i="15"/>
  <c r="J9" i="15"/>
  <c r="J23" i="15"/>
  <c r="J4" i="15"/>
  <c r="W14" i="15"/>
  <c r="W18" i="15"/>
  <c r="W26" i="15"/>
  <c r="J10" i="15"/>
  <c r="J8" i="15"/>
  <c r="W22" i="15"/>
  <c r="W23" i="15"/>
  <c r="W27" i="15"/>
  <c r="W5" i="15"/>
  <c r="W7" i="15"/>
  <c r="W15" i="15"/>
  <c r="W12" i="15"/>
  <c r="W28" i="15"/>
  <c r="W16" i="15"/>
  <c r="J13" i="15"/>
  <c r="W20" i="15"/>
  <c r="AB19" i="15" s="1"/>
  <c r="J5" i="15"/>
  <c r="W21" i="15"/>
  <c r="AB15" i="15" s="1"/>
  <c r="W19" i="15"/>
  <c r="J24" i="15"/>
  <c r="J19" i="15"/>
  <c r="W17" i="15"/>
  <c r="W4" i="15"/>
  <c r="W9" i="15"/>
  <c r="AB16" i="15" s="1"/>
  <c r="W11" i="15"/>
  <c r="AB5" i="15" s="1"/>
  <c r="J21" i="15"/>
  <c r="J15" i="15"/>
  <c r="W6" i="15"/>
  <c r="W13" i="15"/>
  <c r="AB21" i="15" s="1"/>
  <c r="W10" i="15"/>
  <c r="AB4" i="15" s="1"/>
  <c r="J28" i="15"/>
  <c r="J18" i="15"/>
  <c r="J27" i="15"/>
  <c r="J14" i="15"/>
  <c r="J6" i="15"/>
  <c r="J22" i="15"/>
  <c r="F5" i="10"/>
  <c r="J5" i="10"/>
  <c r="C9" i="5"/>
  <c r="C10" i="5"/>
  <c r="C12" i="5"/>
  <c r="C13" i="5"/>
  <c r="C14" i="5"/>
  <c r="AO4" i="15" l="1"/>
  <c r="AO9" i="15"/>
  <c r="AO7" i="15"/>
  <c r="AO10" i="15"/>
  <c r="AO5" i="15"/>
  <c r="AB17" i="15"/>
  <c r="AB18" i="15"/>
  <c r="AB10" i="15"/>
  <c r="AB7" i="15"/>
  <c r="AB20" i="15"/>
  <c r="AO21" i="15"/>
  <c r="AB14" i="15"/>
  <c r="AB11" i="15"/>
  <c r="AB9" i="15"/>
  <c r="K54" i="7"/>
  <c r="O54" i="7"/>
  <c r="N22" i="4" l="1"/>
  <c r="N23" i="4"/>
  <c r="N24" i="4"/>
  <c r="N25" i="4"/>
  <c r="N26" i="4"/>
  <c r="N27" i="4"/>
  <c r="N28" i="4"/>
  <c r="N29" i="4"/>
  <c r="N30" i="4"/>
  <c r="N31" i="4"/>
  <c r="N32" i="4"/>
  <c r="N33" i="4"/>
  <c r="N34" i="4"/>
  <c r="N35" i="4"/>
  <c r="N36" i="4"/>
  <c r="N37" i="4"/>
  <c r="N38" i="4"/>
  <c r="N39" i="4"/>
  <c r="N40" i="4"/>
  <c r="N41" i="4"/>
  <c r="N42" i="4"/>
  <c r="N43" i="4"/>
  <c r="N44" i="4"/>
  <c r="N45" i="4"/>
  <c r="N21" i="4"/>
  <c r="V13" i="6" l="1"/>
  <c r="V12" i="6"/>
  <c r="V11" i="6"/>
  <c r="V10" i="6"/>
  <c r="V45" i="6"/>
  <c r="V22" i="6"/>
  <c r="V23" i="6"/>
  <c r="V24" i="6"/>
  <c r="V25" i="6"/>
  <c r="V26" i="6"/>
  <c r="V27" i="6"/>
  <c r="V28" i="6"/>
  <c r="V29" i="6"/>
  <c r="V30" i="6"/>
  <c r="V31" i="6"/>
  <c r="V32" i="6"/>
  <c r="V33" i="6"/>
  <c r="V34" i="6"/>
  <c r="V35" i="6"/>
  <c r="V36" i="6"/>
  <c r="V37" i="6"/>
  <c r="V38" i="6"/>
  <c r="V39" i="6"/>
  <c r="V40" i="6"/>
  <c r="V41" i="6"/>
  <c r="V42" i="6"/>
  <c r="V43" i="6"/>
  <c r="V44" i="6"/>
  <c r="V21" i="6"/>
  <c r="C26" i="14" l="1"/>
  <c r="C24" i="12" l="1"/>
  <c r="U7" i="10" l="1"/>
  <c r="T13" i="7" l="1"/>
  <c r="T14" i="7"/>
  <c r="T15" i="7"/>
  <c r="T16" i="7"/>
  <c r="T17" i="7"/>
  <c r="T18" i="7"/>
  <c r="T19" i="7"/>
  <c r="T20" i="7"/>
  <c r="T21" i="7"/>
  <c r="T22" i="7"/>
  <c r="T23" i="7"/>
  <c r="T24" i="7"/>
  <c r="T25" i="7"/>
  <c r="T26" i="7"/>
  <c r="T27" i="7"/>
  <c r="T28" i="7"/>
  <c r="T29" i="7"/>
  <c r="T30" i="7"/>
  <c r="T31" i="7"/>
  <c r="T32" i="7"/>
  <c r="T33" i="7"/>
  <c r="T34" i="7"/>
  <c r="T35" i="7"/>
  <c r="T36" i="7"/>
  <c r="T37" i="7"/>
  <c r="AA3" i="7"/>
  <c r="W5" i="7"/>
  <c r="P14" i="7"/>
  <c r="P15" i="7"/>
  <c r="P16" i="7"/>
  <c r="P17" i="7"/>
  <c r="P18" i="7"/>
  <c r="P19" i="7"/>
  <c r="P20" i="7"/>
  <c r="P21" i="7"/>
  <c r="P22" i="7"/>
  <c r="P23" i="7"/>
  <c r="P24" i="7"/>
  <c r="P25" i="7"/>
  <c r="P26" i="7"/>
  <c r="P27" i="7"/>
  <c r="P28" i="7"/>
  <c r="P29" i="7"/>
  <c r="P30" i="7"/>
  <c r="P31" i="7"/>
  <c r="P32" i="7"/>
  <c r="P33" i="7"/>
  <c r="P34" i="7"/>
  <c r="P35" i="7"/>
  <c r="P36" i="7"/>
  <c r="P37" i="7"/>
  <c r="P13" i="7"/>
  <c r="L14" i="7"/>
  <c r="L15" i="7"/>
  <c r="L16" i="7"/>
  <c r="L17" i="7"/>
  <c r="L18" i="7"/>
  <c r="L19" i="7"/>
  <c r="L20" i="7"/>
  <c r="L21" i="7"/>
  <c r="L22" i="7"/>
  <c r="L23" i="7"/>
  <c r="L24" i="7"/>
  <c r="L25" i="7"/>
  <c r="L26" i="7"/>
  <c r="L27" i="7"/>
  <c r="L28" i="7"/>
  <c r="L29" i="7"/>
  <c r="L30" i="7"/>
  <c r="L31" i="7"/>
  <c r="L32" i="7"/>
  <c r="L33" i="7"/>
  <c r="L34" i="7"/>
  <c r="L35" i="7"/>
  <c r="L36" i="7"/>
  <c r="L37" i="7"/>
  <c r="L13" i="7"/>
  <c r="H14" i="7"/>
  <c r="H15" i="7"/>
  <c r="H16" i="7"/>
  <c r="H17" i="7"/>
  <c r="H18" i="7"/>
  <c r="H19" i="7"/>
  <c r="H20" i="7"/>
  <c r="H21" i="7"/>
  <c r="H22" i="7"/>
  <c r="H23" i="7"/>
  <c r="H24" i="7"/>
  <c r="H25" i="7"/>
  <c r="H26" i="7"/>
  <c r="H27" i="7"/>
  <c r="H28" i="7"/>
  <c r="H29" i="7"/>
  <c r="H30" i="7"/>
  <c r="H31" i="7"/>
  <c r="H32" i="7"/>
  <c r="H33" i="7"/>
  <c r="H34" i="7"/>
  <c r="H35" i="7"/>
  <c r="H36" i="7"/>
  <c r="H37" i="7"/>
  <c r="H13" i="7"/>
  <c r="D15" i="7"/>
  <c r="D16" i="7"/>
  <c r="D17" i="7"/>
  <c r="D18" i="7"/>
  <c r="D19" i="7"/>
  <c r="D20" i="7"/>
  <c r="D21" i="7"/>
  <c r="D22" i="7"/>
  <c r="D23" i="7"/>
  <c r="D24" i="7"/>
  <c r="D25" i="7"/>
  <c r="D26" i="7"/>
  <c r="D27" i="7"/>
  <c r="D28" i="7"/>
  <c r="D29" i="7"/>
  <c r="D30" i="7"/>
  <c r="D31" i="7"/>
  <c r="D32" i="7"/>
  <c r="D33" i="7"/>
  <c r="D34" i="7"/>
  <c r="D35" i="7"/>
  <c r="D36" i="7"/>
  <c r="D37" i="7"/>
  <c r="D14" i="7"/>
  <c r="D13" i="7"/>
  <c r="N27" i="5"/>
  <c r="N20" i="5"/>
  <c r="L7" i="5"/>
  <c r="B7" i="5"/>
  <c r="D20" i="5" l="1"/>
  <c r="D25" i="5"/>
  <c r="D43" i="5"/>
  <c r="D45" i="5"/>
  <c r="E37" i="5" s="1"/>
  <c r="D28" i="5"/>
  <c r="E28" i="5" s="1"/>
  <c r="D26" i="5"/>
  <c r="E26" i="5" s="1"/>
  <c r="D27" i="5"/>
  <c r="E27" i="5" s="1"/>
  <c r="D39" i="5"/>
  <c r="D22" i="5"/>
  <c r="D41" i="5"/>
  <c r="D40" i="5"/>
  <c r="D38" i="5"/>
  <c r="E38" i="5" s="1"/>
  <c r="D44" i="5"/>
  <c r="E44" i="5" s="1"/>
  <c r="D32" i="5"/>
  <c r="D33" i="5"/>
  <c r="D34" i="5"/>
  <c r="D35" i="5"/>
  <c r="G37" i="5"/>
  <c r="D42" i="5"/>
  <c r="E41" i="5" l="1"/>
  <c r="E39" i="5"/>
  <c r="E42" i="5"/>
  <c r="E40" i="5"/>
  <c r="E22" i="5"/>
  <c r="E45" i="5"/>
  <c r="E29" i="5"/>
  <c r="E43" i="5"/>
  <c r="E25" i="5"/>
  <c r="G26" i="5"/>
  <c r="G28" i="5"/>
  <c r="G38" i="5"/>
  <c r="G45" i="5"/>
  <c r="G40" i="5"/>
  <c r="G43" i="5"/>
  <c r="G44" i="5"/>
  <c r="G27" i="5"/>
  <c r="G22" i="5"/>
  <c r="G25" i="5"/>
  <c r="G39" i="5"/>
  <c r="G42" i="5"/>
  <c r="G41" i="5"/>
  <c r="D21" i="5" l="1"/>
  <c r="E21" i="5" s="1"/>
  <c r="F29" i="5" s="1"/>
  <c r="C17" i="5"/>
  <c r="C16" i="5"/>
  <c r="C15" i="5"/>
  <c r="D20" i="4"/>
  <c r="M20" i="6"/>
  <c r="D20" i="6"/>
  <c r="L20" i="6"/>
  <c r="C12" i="2"/>
  <c r="C14" i="2"/>
  <c r="C16" i="2"/>
  <c r="C9" i="2"/>
  <c r="C11" i="2"/>
  <c r="C8" i="2"/>
  <c r="C10" i="2"/>
  <c r="M22" i="2"/>
  <c r="M23" i="2"/>
  <c r="M24" i="2"/>
  <c r="M25" i="2"/>
  <c r="M26" i="2"/>
  <c r="M27" i="2"/>
  <c r="M28" i="2"/>
  <c r="M29" i="2"/>
  <c r="M21" i="2"/>
  <c r="C2" i="2"/>
  <c r="D19" i="2"/>
  <c r="L23" i="3"/>
  <c r="L22" i="3"/>
  <c r="L24" i="3"/>
  <c r="L25" i="3"/>
  <c r="L26" i="3"/>
  <c r="L27" i="3"/>
  <c r="L28" i="3"/>
  <c r="L29" i="3"/>
  <c r="L21" i="3"/>
  <c r="B17" i="3"/>
  <c r="B16" i="3"/>
  <c r="B15" i="3"/>
  <c r="B14" i="3"/>
  <c r="B13" i="3"/>
  <c r="B12" i="3"/>
  <c r="B11" i="3"/>
  <c r="B10" i="3"/>
  <c r="B9" i="3"/>
  <c r="D27" i="6"/>
  <c r="F27" i="6" s="1"/>
  <c r="D29" i="4"/>
  <c r="F29" i="4" s="1"/>
  <c r="D25" i="4"/>
  <c r="F25" i="4" s="1"/>
  <c r="D31" i="6"/>
  <c r="M27" i="6"/>
  <c r="D23" i="4"/>
  <c r="F23" i="4" s="1"/>
  <c r="D28" i="4"/>
  <c r="F28" i="4" s="1"/>
  <c r="M28" i="6"/>
  <c r="D21" i="6"/>
  <c r="F21" i="6" s="1"/>
  <c r="D26" i="6"/>
  <c r="F26" i="6" s="1"/>
  <c r="M29" i="6"/>
  <c r="D22" i="4"/>
  <c r="F22" i="4" s="1"/>
  <c r="D35" i="4"/>
  <c r="F35" i="4" s="1"/>
  <c r="D30" i="4"/>
  <c r="F30" i="4" s="1"/>
  <c r="M31" i="6"/>
  <c r="D42" i="6"/>
  <c r="M32" i="6"/>
  <c r="D24" i="4"/>
  <c r="F24" i="4" s="1"/>
  <c r="M33" i="6"/>
  <c r="D34" i="6"/>
  <c r="M34" i="6"/>
  <c r="D42" i="4"/>
  <c r="F42" i="4" s="1"/>
  <c r="M35" i="6"/>
  <c r="D40" i="4"/>
  <c r="F40" i="4" s="1"/>
  <c r="M36" i="6"/>
  <c r="D38" i="4"/>
  <c r="F38" i="4" s="1"/>
  <c r="M37" i="6"/>
  <c r="D38" i="6"/>
  <c r="M38" i="6"/>
  <c r="D41" i="4"/>
  <c r="F41" i="4" s="1"/>
  <c r="M39" i="6"/>
  <c r="D43" i="6"/>
  <c r="F43" i="6" s="1"/>
  <c r="M40" i="6"/>
  <c r="D45" i="4"/>
  <c r="F45" i="4" s="1"/>
  <c r="M41" i="6"/>
  <c r="D32" i="4"/>
  <c r="M42" i="6"/>
  <c r="D44" i="4"/>
  <c r="F44" i="4" s="1"/>
  <c r="D33" i="4"/>
  <c r="D36" i="4"/>
  <c r="L4" i="8"/>
  <c r="M4" i="8"/>
  <c r="D40" i="2"/>
  <c r="D4" i="8"/>
  <c r="P4" i="8"/>
  <c r="N42" i="5" s="1"/>
  <c r="D5" i="8"/>
  <c r="N44" i="5"/>
  <c r="D6" i="8"/>
  <c r="N39" i="5"/>
  <c r="D7" i="8"/>
  <c r="N26" i="5"/>
  <c r="D8" i="8"/>
  <c r="N30" i="5"/>
  <c r="D9" i="8"/>
  <c r="D42" i="3"/>
  <c r="D10" i="8"/>
  <c r="N41" i="5"/>
  <c r="D11" i="8"/>
  <c r="N43" i="5"/>
  <c r="D12" i="8"/>
  <c r="N21" i="5"/>
  <c r="D13" i="8"/>
  <c r="N34" i="5"/>
  <c r="D14" i="8"/>
  <c r="N31" i="5"/>
  <c r="D15" i="8"/>
  <c r="N25" i="5"/>
  <c r="D16" i="8"/>
  <c r="N40" i="5"/>
  <c r="D17" i="8"/>
  <c r="N45" i="5"/>
  <c r="D18" i="8"/>
  <c r="N35" i="5"/>
  <c r="D19" i="8"/>
  <c r="N38" i="5"/>
  <c r="D20" i="8"/>
  <c r="N37" i="5"/>
  <c r="D21" i="8"/>
  <c r="N36" i="5"/>
  <c r="O36" i="5" s="1"/>
  <c r="D22" i="8"/>
  <c r="N32" i="5"/>
  <c r="D23" i="8"/>
  <c r="N28" i="5"/>
  <c r="D24" i="8"/>
  <c r="N29" i="5"/>
  <c r="O29" i="5" s="1"/>
  <c r="D37" i="3"/>
  <c r="D25" i="8"/>
  <c r="N22" i="5"/>
  <c r="D26" i="8"/>
  <c r="N23" i="5"/>
  <c r="D27" i="8"/>
  <c r="N24" i="5"/>
  <c r="D28" i="8"/>
  <c r="N33" i="5"/>
  <c r="C26" i="8"/>
  <c r="C27" i="8"/>
  <c r="C28" i="8"/>
  <c r="C25" i="8"/>
  <c r="C24" i="8"/>
  <c r="C20" i="8"/>
  <c r="C21" i="8"/>
  <c r="C22" i="8"/>
  <c r="C23" i="8"/>
  <c r="C19" i="8"/>
  <c r="C18" i="8"/>
  <c r="C17" i="8"/>
  <c r="C16" i="8"/>
  <c r="C12" i="8"/>
  <c r="C13" i="8"/>
  <c r="C14" i="8"/>
  <c r="C15" i="8"/>
  <c r="C11" i="8"/>
  <c r="C10" i="8"/>
  <c r="C5" i="8"/>
  <c r="C6" i="8"/>
  <c r="C7" i="8"/>
  <c r="C8" i="8"/>
  <c r="C9" i="8"/>
  <c r="C4" i="8"/>
  <c r="A5" i="8"/>
  <c r="B5" i="8"/>
  <c r="A25" i="4"/>
  <c r="B6" i="8"/>
  <c r="A31" i="4"/>
  <c r="B7" i="8"/>
  <c r="B26" i="5" s="1"/>
  <c r="A27" i="5"/>
  <c r="B9" i="8"/>
  <c r="B8" i="8"/>
  <c r="A42" i="2"/>
  <c r="B10" i="8"/>
  <c r="B21" i="4" s="1"/>
  <c r="K28" i="4"/>
  <c r="B11" i="8"/>
  <c r="B12" i="8"/>
  <c r="K21" i="6" s="1"/>
  <c r="A41" i="5"/>
  <c r="B13" i="8"/>
  <c r="B31" i="2" s="1"/>
  <c r="A35" i="3"/>
  <c r="B14" i="8"/>
  <c r="B40" i="5" s="1"/>
  <c r="J32" i="6"/>
  <c r="B15" i="8"/>
  <c r="L32" i="4" s="1"/>
  <c r="A24" i="3"/>
  <c r="B16" i="8"/>
  <c r="B17" i="8"/>
  <c r="B44" i="5" s="1"/>
  <c r="A42" i="4"/>
  <c r="B18" i="8"/>
  <c r="K35" i="6" s="1"/>
  <c r="B19" i="8"/>
  <c r="B33" i="3" s="1"/>
  <c r="A33" i="5"/>
  <c r="B20" i="8"/>
  <c r="T37" i="6" s="1"/>
  <c r="K38" i="4"/>
  <c r="B21" i="8"/>
  <c r="T38" i="6" s="1"/>
  <c r="A41" i="4"/>
  <c r="B22" i="8"/>
  <c r="B41" i="4" s="1"/>
  <c r="K40" i="4"/>
  <c r="B23" i="8"/>
  <c r="B38" i="3" s="1"/>
  <c r="B24" i="8"/>
  <c r="A36" i="5"/>
  <c r="L42" i="4"/>
  <c r="A37" i="2"/>
  <c r="B30" i="5"/>
  <c r="A36" i="2"/>
  <c r="A33" i="2"/>
  <c r="B37" i="5"/>
  <c r="B4" i="8"/>
  <c r="A4" i="8"/>
  <c r="A22" i="2" s="1"/>
  <c r="S3" i="7"/>
  <c r="O3" i="7"/>
  <c r="K3" i="7"/>
  <c r="G3" i="7"/>
  <c r="C3" i="7"/>
  <c r="C2" i="7"/>
  <c r="M3" i="5"/>
  <c r="C3" i="5"/>
  <c r="C2" i="5"/>
  <c r="M3" i="4"/>
  <c r="C3" i="4"/>
  <c r="C2" i="4"/>
  <c r="C2" i="3"/>
  <c r="F42" i="5" l="1"/>
  <c r="O28" i="5"/>
  <c r="F39" i="5"/>
  <c r="F40" i="5"/>
  <c r="O32" i="5"/>
  <c r="O35" i="5"/>
  <c r="O31" i="5"/>
  <c r="O41" i="5"/>
  <c r="O39" i="5"/>
  <c r="F43" i="5"/>
  <c r="O38" i="5"/>
  <c r="O25" i="5"/>
  <c r="O43" i="5"/>
  <c r="O26" i="5"/>
  <c r="F22" i="5"/>
  <c r="F45" i="5"/>
  <c r="O37" i="5"/>
  <c r="O40" i="5"/>
  <c r="O21" i="5"/>
  <c r="Q21" i="5" s="1"/>
  <c r="F21" i="5"/>
  <c r="F35" i="5"/>
  <c r="F30" i="5"/>
  <c r="F23" i="5"/>
  <c r="F31" i="5"/>
  <c r="F36" i="5"/>
  <c r="F24" i="5"/>
  <c r="F32" i="5"/>
  <c r="F34" i="5"/>
  <c r="F28" i="5"/>
  <c r="F26" i="5"/>
  <c r="F37" i="5"/>
  <c r="F44" i="5"/>
  <c r="F38" i="5"/>
  <c r="F41" i="5"/>
  <c r="F27" i="5"/>
  <c r="F25" i="5"/>
  <c r="O22" i="5"/>
  <c r="O23" i="5"/>
  <c r="O45" i="5"/>
  <c r="O27" i="5"/>
  <c r="O34" i="5"/>
  <c r="O44" i="5"/>
  <c r="O33" i="5"/>
  <c r="Q33" i="5" s="1"/>
  <c r="V21" i="5"/>
  <c r="O30" i="5"/>
  <c r="O42" i="5"/>
  <c r="O24" i="5"/>
  <c r="W16" i="10"/>
  <c r="W28" i="10"/>
  <c r="W20" i="10"/>
  <c r="W25" i="10"/>
  <c r="D43" i="3"/>
  <c r="G43" i="3" s="1"/>
  <c r="C27" i="14"/>
  <c r="H15" i="15" s="1"/>
  <c r="D35" i="3"/>
  <c r="C19" i="14"/>
  <c r="D36" i="3"/>
  <c r="G36" i="3" s="1"/>
  <c r="C20" i="14"/>
  <c r="D22" i="3"/>
  <c r="G22" i="3" s="1"/>
  <c r="C6" i="14"/>
  <c r="H10" i="15" s="1"/>
  <c r="D32" i="3"/>
  <c r="C16" i="14"/>
  <c r="D26" i="3"/>
  <c r="G26" i="3" s="1"/>
  <c r="C10" i="14"/>
  <c r="D27" i="3"/>
  <c r="G27" i="3" s="1"/>
  <c r="C11" i="14"/>
  <c r="D41" i="3"/>
  <c r="G41" i="3" s="1"/>
  <c r="C25" i="14"/>
  <c r="H5" i="15" s="1"/>
  <c r="D40" i="3"/>
  <c r="C24" i="14"/>
  <c r="H4" i="15" s="1"/>
  <c r="W30" i="10"/>
  <c r="W22" i="10"/>
  <c r="W18" i="10"/>
  <c r="W10" i="10"/>
  <c r="W8" i="10"/>
  <c r="W13" i="10"/>
  <c r="W27" i="10"/>
  <c r="W15" i="10"/>
  <c r="D31" i="3"/>
  <c r="G31" i="3" s="1"/>
  <c r="C15" i="14"/>
  <c r="H13" i="15" s="1"/>
  <c r="D21" i="3"/>
  <c r="C5" i="14"/>
  <c r="H26" i="15" s="1"/>
  <c r="W32" i="10"/>
  <c r="W24" i="10"/>
  <c r="C22" i="12"/>
  <c r="W12" i="10"/>
  <c r="W29" i="10"/>
  <c r="W21" i="10"/>
  <c r="C15" i="12"/>
  <c r="W17" i="10"/>
  <c r="C4" i="12"/>
  <c r="C5" i="15" s="1"/>
  <c r="W9" i="10"/>
  <c r="C12" i="12"/>
  <c r="W26" i="10"/>
  <c r="W14" i="10"/>
  <c r="D34" i="3"/>
  <c r="G34" i="3" s="1"/>
  <c r="C18" i="14"/>
  <c r="D28" i="3"/>
  <c r="G28" i="3" s="1"/>
  <c r="C12" i="14"/>
  <c r="D20" i="3"/>
  <c r="G20" i="3" s="1"/>
  <c r="C4" i="14"/>
  <c r="D23" i="3"/>
  <c r="G23" i="3" s="1"/>
  <c r="C7" i="14"/>
  <c r="D38" i="3"/>
  <c r="G38" i="3" s="1"/>
  <c r="C22" i="14"/>
  <c r="H24" i="15" s="1"/>
  <c r="D39" i="3"/>
  <c r="G39" i="3" s="1"/>
  <c r="C23" i="14"/>
  <c r="H23" i="15" s="1"/>
  <c r="D30" i="3"/>
  <c r="C14" i="14"/>
  <c r="D29" i="3"/>
  <c r="C13" i="14"/>
  <c r="D33" i="3"/>
  <c r="G33" i="3" s="1"/>
  <c r="C17" i="14"/>
  <c r="H19" i="15" s="1"/>
  <c r="D44" i="3"/>
  <c r="G44" i="3" s="1"/>
  <c r="C28" i="14"/>
  <c r="H9" i="15" s="1"/>
  <c r="D25" i="3"/>
  <c r="G25" i="3" s="1"/>
  <c r="C9" i="14"/>
  <c r="D24" i="3"/>
  <c r="C8" i="14"/>
  <c r="H16" i="15" s="1"/>
  <c r="C20" i="12"/>
  <c r="W31" i="10"/>
  <c r="C9" i="12"/>
  <c r="W23" i="10"/>
  <c r="W19" i="10"/>
  <c r="W11" i="10"/>
  <c r="G21" i="5"/>
  <c r="M4" i="5"/>
  <c r="M5" i="5"/>
  <c r="R17" i="7"/>
  <c r="B17" i="7"/>
  <c r="L30" i="5"/>
  <c r="K23" i="6"/>
  <c r="N17" i="7"/>
  <c r="B27" i="5"/>
  <c r="B23" i="6"/>
  <c r="N71" i="7"/>
  <c r="J17" i="7"/>
  <c r="B23" i="4"/>
  <c r="B38" i="2"/>
  <c r="F17" i="7"/>
  <c r="T25" i="6"/>
  <c r="B32" i="3"/>
  <c r="L27" i="5"/>
  <c r="K28" i="6"/>
  <c r="N18" i="7"/>
  <c r="F18" i="7"/>
  <c r="B39" i="5"/>
  <c r="B28" i="6"/>
  <c r="B18" i="7"/>
  <c r="J18" i="7"/>
  <c r="B28" i="4"/>
  <c r="B40" i="2"/>
  <c r="R18" i="7"/>
  <c r="T26" i="6"/>
  <c r="B42" i="3"/>
  <c r="N60" i="7"/>
  <c r="D21" i="2"/>
  <c r="C5" i="12"/>
  <c r="D42" i="2"/>
  <c r="C26" i="12"/>
  <c r="D27" i="2"/>
  <c r="C11" i="12"/>
  <c r="C21" i="15" s="1"/>
  <c r="D43" i="2"/>
  <c r="C27" i="12"/>
  <c r="D39" i="2"/>
  <c r="C23" i="12"/>
  <c r="D37" i="2"/>
  <c r="C21" i="12"/>
  <c r="C26" i="15" s="1"/>
  <c r="D23" i="2"/>
  <c r="C7" i="12"/>
  <c r="D44" i="2"/>
  <c r="C28" i="12"/>
  <c r="C7" i="15" s="1"/>
  <c r="D22" i="2"/>
  <c r="C6" i="12"/>
  <c r="C24" i="15" s="1"/>
  <c r="D34" i="2"/>
  <c r="C18" i="12"/>
  <c r="D33" i="2"/>
  <c r="C17" i="12"/>
  <c r="D26" i="2"/>
  <c r="C10" i="12"/>
  <c r="D32" i="2"/>
  <c r="C16" i="12"/>
  <c r="D30" i="2"/>
  <c r="C14" i="12"/>
  <c r="C6" i="15" s="1"/>
  <c r="D35" i="2"/>
  <c r="C19" i="12"/>
  <c r="C8" i="15" s="1"/>
  <c r="D24" i="2"/>
  <c r="C8" i="12"/>
  <c r="D41" i="2"/>
  <c r="C25" i="12"/>
  <c r="C9" i="15" s="1"/>
  <c r="D29" i="2"/>
  <c r="C13" i="12"/>
  <c r="D37" i="6"/>
  <c r="B37" i="2"/>
  <c r="J27" i="5"/>
  <c r="J30" i="5"/>
  <c r="J23" i="5"/>
  <c r="K43" i="6"/>
  <c r="J26" i="5"/>
  <c r="B36" i="3"/>
  <c r="K39" i="6"/>
  <c r="J29" i="5"/>
  <c r="B39" i="6"/>
  <c r="J25" i="5"/>
  <c r="A32" i="3"/>
  <c r="B44" i="2"/>
  <c r="B22" i="4"/>
  <c r="J24" i="5"/>
  <c r="B22" i="6"/>
  <c r="J28" i="5"/>
  <c r="J22" i="5"/>
  <c r="N57" i="7"/>
  <c r="N13" i="7"/>
  <c r="J13" i="7"/>
  <c r="F13" i="7"/>
  <c r="B13" i="7"/>
  <c r="R13" i="7"/>
  <c r="L42" i="5"/>
  <c r="N78" i="7"/>
  <c r="R20" i="7"/>
  <c r="J20" i="7"/>
  <c r="L43" i="5"/>
  <c r="N20" i="7"/>
  <c r="F20" i="7"/>
  <c r="B20" i="7"/>
  <c r="M63" i="7"/>
  <c r="M26" i="7"/>
  <c r="E26" i="7"/>
  <c r="K45" i="5"/>
  <c r="A26" i="7"/>
  <c r="Q26" i="7"/>
  <c r="I26" i="7"/>
  <c r="N56" i="7"/>
  <c r="N33" i="7"/>
  <c r="F33" i="7"/>
  <c r="B33" i="7"/>
  <c r="L29" i="5"/>
  <c r="R33" i="7"/>
  <c r="J33" i="7"/>
  <c r="N69" i="7"/>
  <c r="L40" i="5"/>
  <c r="N25" i="7"/>
  <c r="F25" i="7"/>
  <c r="B25" i="7"/>
  <c r="R25" i="7"/>
  <c r="J25" i="7"/>
  <c r="N72" i="7"/>
  <c r="N15" i="7"/>
  <c r="F15" i="7"/>
  <c r="B15" i="7"/>
  <c r="L39" i="5"/>
  <c r="R15" i="7"/>
  <c r="J15" i="7"/>
  <c r="M56" i="7"/>
  <c r="M33" i="7"/>
  <c r="A33" i="7"/>
  <c r="Q33" i="7"/>
  <c r="I33" i="7"/>
  <c r="K29" i="5"/>
  <c r="E33" i="7"/>
  <c r="M69" i="7"/>
  <c r="M25" i="7"/>
  <c r="A25" i="7"/>
  <c r="Q25" i="7"/>
  <c r="I25" i="7"/>
  <c r="E25" i="7"/>
  <c r="K40" i="5"/>
  <c r="M65" i="7"/>
  <c r="M23" i="7"/>
  <c r="E23" i="7"/>
  <c r="Q23" i="7"/>
  <c r="I23" i="7"/>
  <c r="A23" i="7"/>
  <c r="K31" i="5"/>
  <c r="M79" i="7"/>
  <c r="M19" i="7"/>
  <c r="E19" i="7"/>
  <c r="A19" i="7"/>
  <c r="Q19" i="7"/>
  <c r="I19" i="7"/>
  <c r="K41" i="5"/>
  <c r="N76" i="7"/>
  <c r="N36" i="7"/>
  <c r="L24" i="5"/>
  <c r="F36" i="7"/>
  <c r="R36" i="7"/>
  <c r="J36" i="7"/>
  <c r="B36" i="7"/>
  <c r="N59" i="7"/>
  <c r="N32" i="7"/>
  <c r="F32" i="7"/>
  <c r="B32" i="7"/>
  <c r="R32" i="7"/>
  <c r="J32" i="7"/>
  <c r="L28" i="5"/>
  <c r="N61" i="7"/>
  <c r="N28" i="7"/>
  <c r="F28" i="7"/>
  <c r="L38" i="5"/>
  <c r="R28" i="7"/>
  <c r="J28" i="7"/>
  <c r="B28" i="7"/>
  <c r="N62" i="7"/>
  <c r="N22" i="7"/>
  <c r="F22" i="7"/>
  <c r="L34" i="5"/>
  <c r="B22" i="7"/>
  <c r="R22" i="7"/>
  <c r="J22" i="7"/>
  <c r="N55" i="7"/>
  <c r="N14" i="7"/>
  <c r="F14" i="7"/>
  <c r="L44" i="5"/>
  <c r="R14" i="7"/>
  <c r="J14" i="7"/>
  <c r="B14" i="7"/>
  <c r="B28" i="3"/>
  <c r="A37" i="3"/>
  <c r="A29" i="3"/>
  <c r="B24" i="3"/>
  <c r="B35" i="3"/>
  <c r="A26" i="3"/>
  <c r="B34" i="2"/>
  <c r="B25" i="2"/>
  <c r="A29" i="2"/>
  <c r="A32" i="2"/>
  <c r="B42" i="2"/>
  <c r="B30" i="2"/>
  <c r="B33" i="6"/>
  <c r="B43" i="6"/>
  <c r="A37" i="6"/>
  <c r="A24" i="6"/>
  <c r="B30" i="6"/>
  <c r="B21" i="6"/>
  <c r="D25" i="6"/>
  <c r="F25" i="6" s="1"/>
  <c r="K24" i="6"/>
  <c r="J42" i="6"/>
  <c r="J38" i="6"/>
  <c r="J34" i="6"/>
  <c r="J29" i="6"/>
  <c r="J27" i="6"/>
  <c r="T44" i="6"/>
  <c r="T40" i="6"/>
  <c r="T36" i="6"/>
  <c r="T30" i="6"/>
  <c r="T22" i="6"/>
  <c r="A27" i="4"/>
  <c r="B43" i="4"/>
  <c r="B44" i="4"/>
  <c r="K45" i="4"/>
  <c r="K41" i="4"/>
  <c r="K37" i="4"/>
  <c r="K33" i="4"/>
  <c r="K31" i="4"/>
  <c r="K27" i="4"/>
  <c r="K23" i="4"/>
  <c r="B22" i="5"/>
  <c r="A42" i="5"/>
  <c r="N74" i="7"/>
  <c r="R16" i="7"/>
  <c r="J16" i="7"/>
  <c r="N16" i="7"/>
  <c r="F16" i="7"/>
  <c r="B16" i="7"/>
  <c r="L26" i="5"/>
  <c r="M68" i="7"/>
  <c r="M24" i="7"/>
  <c r="E24" i="7"/>
  <c r="A24" i="7"/>
  <c r="K25" i="5"/>
  <c r="Q24" i="7"/>
  <c r="I24" i="7"/>
  <c r="M76" i="7"/>
  <c r="E36" i="7"/>
  <c r="A36" i="7"/>
  <c r="Q36" i="7"/>
  <c r="I36" i="7"/>
  <c r="K24" i="5"/>
  <c r="M36" i="7"/>
  <c r="M61" i="7"/>
  <c r="E28" i="7"/>
  <c r="K38" i="5"/>
  <c r="A28" i="7"/>
  <c r="Q28" i="7"/>
  <c r="I28" i="7"/>
  <c r="M28" i="7"/>
  <c r="M60" i="7"/>
  <c r="E18" i="7"/>
  <c r="A18" i="7"/>
  <c r="Q18" i="7"/>
  <c r="I18" i="7"/>
  <c r="K27" i="5"/>
  <c r="M18" i="7"/>
  <c r="M55" i="7"/>
  <c r="E14" i="7"/>
  <c r="K44" i="5"/>
  <c r="A14" i="7"/>
  <c r="Q14" i="7"/>
  <c r="I14" i="7"/>
  <c r="M14" i="7"/>
  <c r="A28" i="3"/>
  <c r="B27" i="3"/>
  <c r="A25" i="2"/>
  <c r="A33" i="6"/>
  <c r="A30" i="6"/>
  <c r="A21" i="6"/>
  <c r="B25" i="6"/>
  <c r="K45" i="6"/>
  <c r="K41" i="6"/>
  <c r="K37" i="6"/>
  <c r="K33" i="6"/>
  <c r="K31" i="6"/>
  <c r="K22" i="6"/>
  <c r="K26" i="6"/>
  <c r="S44" i="6"/>
  <c r="S40" i="6"/>
  <c r="S36" i="6"/>
  <c r="S30" i="6"/>
  <c r="S26" i="6"/>
  <c r="S22" i="6"/>
  <c r="A24" i="4"/>
  <c r="B27" i="4"/>
  <c r="B31" i="4"/>
  <c r="A32" i="4"/>
  <c r="L44" i="4"/>
  <c r="L40" i="4"/>
  <c r="L36" i="4"/>
  <c r="L30" i="4"/>
  <c r="L26" i="4"/>
  <c r="L22" i="4"/>
  <c r="A32" i="5"/>
  <c r="A34" i="5"/>
  <c r="A44" i="5"/>
  <c r="A39" i="5"/>
  <c r="B22" i="3"/>
  <c r="A34" i="2"/>
  <c r="A30" i="2"/>
  <c r="A43" i="6"/>
  <c r="N77" i="7"/>
  <c r="B35" i="7"/>
  <c r="R35" i="7"/>
  <c r="J35" i="7"/>
  <c r="L23" i="5"/>
  <c r="N35" i="7"/>
  <c r="F35" i="7"/>
  <c r="N64" i="7"/>
  <c r="B31" i="7"/>
  <c r="L32" i="5"/>
  <c r="R31" i="7"/>
  <c r="J31" i="7"/>
  <c r="N31" i="7"/>
  <c r="F31" i="7"/>
  <c r="N58" i="7"/>
  <c r="B27" i="7"/>
  <c r="J27" i="7"/>
  <c r="R27" i="7"/>
  <c r="N27" i="7"/>
  <c r="L35" i="5"/>
  <c r="F27" i="7"/>
  <c r="N75" i="7"/>
  <c r="B21" i="7"/>
  <c r="R21" i="7"/>
  <c r="N21" i="7"/>
  <c r="L21" i="5"/>
  <c r="J21" i="7"/>
  <c r="F21" i="7"/>
  <c r="B20" i="3"/>
  <c r="A38" i="3"/>
  <c r="A33" i="3"/>
  <c r="B31" i="3"/>
  <c r="A22" i="3"/>
  <c r="A27" i="3"/>
  <c r="B22" i="2"/>
  <c r="B28" i="2"/>
  <c r="A31" i="2"/>
  <c r="B20" i="2"/>
  <c r="B44" i="6"/>
  <c r="B40" i="6"/>
  <c r="A39" i="6"/>
  <c r="B35" i="6"/>
  <c r="A25" i="6"/>
  <c r="J45" i="6"/>
  <c r="J41" i="6"/>
  <c r="J37" i="6"/>
  <c r="J33" i="6"/>
  <c r="J31" i="6"/>
  <c r="J22" i="6"/>
  <c r="J26" i="6"/>
  <c r="T43" i="6"/>
  <c r="T39" i="6"/>
  <c r="T35" i="6"/>
  <c r="T29" i="6"/>
  <c r="B24" i="4"/>
  <c r="A30" i="4"/>
  <c r="A35" i="4"/>
  <c r="B42" i="4"/>
  <c r="B32" i="4"/>
  <c r="A39" i="4"/>
  <c r="K44" i="4"/>
  <c r="K36" i="4"/>
  <c r="K30" i="4"/>
  <c r="K26" i="4"/>
  <c r="K22" i="4"/>
  <c r="B32" i="5"/>
  <c r="B34" i="5"/>
  <c r="B36" i="5"/>
  <c r="M73" i="7"/>
  <c r="K22" i="5"/>
  <c r="M34" i="7"/>
  <c r="E34" i="7"/>
  <c r="A34" i="7"/>
  <c r="Q34" i="7"/>
  <c r="I34" i="7"/>
  <c r="M74" i="7"/>
  <c r="M16" i="7"/>
  <c r="E16" i="7"/>
  <c r="A16" i="7"/>
  <c r="K26" i="5"/>
  <c r="Q16" i="7"/>
  <c r="I16" i="7"/>
  <c r="M59" i="7"/>
  <c r="E32" i="7"/>
  <c r="K28" i="5"/>
  <c r="A32" i="7"/>
  <c r="Q32" i="7"/>
  <c r="I32" i="7"/>
  <c r="M32" i="7"/>
  <c r="M62" i="7"/>
  <c r="E22" i="7"/>
  <c r="K34" i="5"/>
  <c r="A22" i="7"/>
  <c r="Q22" i="7"/>
  <c r="I22" i="7"/>
  <c r="M22" i="7"/>
  <c r="M57" i="7"/>
  <c r="Q13" i="7"/>
  <c r="K42" i="5"/>
  <c r="M13" i="7"/>
  <c r="I13" i="7"/>
  <c r="E13" i="7"/>
  <c r="A13" i="7"/>
  <c r="M77" i="7"/>
  <c r="Q35" i="7"/>
  <c r="I35" i="7"/>
  <c r="K23" i="5"/>
  <c r="M35" i="7"/>
  <c r="E35" i="7"/>
  <c r="A35" i="7"/>
  <c r="M64" i="7"/>
  <c r="K32" i="5"/>
  <c r="Q31" i="7"/>
  <c r="I31" i="7"/>
  <c r="M31" i="7"/>
  <c r="E31" i="7"/>
  <c r="A31" i="7"/>
  <c r="M58" i="7"/>
  <c r="Q27" i="7"/>
  <c r="I27" i="7"/>
  <c r="M27" i="7"/>
  <c r="K35" i="5"/>
  <c r="E27" i="7"/>
  <c r="A27" i="7"/>
  <c r="M75" i="7"/>
  <c r="Q21" i="7"/>
  <c r="I21" i="7"/>
  <c r="M21" i="7"/>
  <c r="K21" i="5"/>
  <c r="E21" i="7"/>
  <c r="A21" i="7"/>
  <c r="M71" i="7"/>
  <c r="Q17" i="7"/>
  <c r="I17" i="7"/>
  <c r="K30" i="5"/>
  <c r="M17" i="7"/>
  <c r="E17" i="7"/>
  <c r="A17" i="7"/>
  <c r="A20" i="3"/>
  <c r="B39" i="3"/>
  <c r="B44" i="3"/>
  <c r="A31" i="3"/>
  <c r="B41" i="3"/>
  <c r="A28" i="2"/>
  <c r="B23" i="2"/>
  <c r="A40" i="2"/>
  <c r="A20" i="2"/>
  <c r="A44" i="6"/>
  <c r="A40" i="6"/>
  <c r="B41" i="6"/>
  <c r="A35" i="6"/>
  <c r="A28" i="6"/>
  <c r="B29" i="6"/>
  <c r="K44" i="6"/>
  <c r="K40" i="6"/>
  <c r="K36" i="6"/>
  <c r="K30" i="6"/>
  <c r="K25" i="6"/>
  <c r="S43" i="6"/>
  <c r="S39" i="6"/>
  <c r="S35" i="6"/>
  <c r="S29" i="6"/>
  <c r="S25" i="6"/>
  <c r="A22" i="4"/>
  <c r="A26" i="4"/>
  <c r="B30" i="4"/>
  <c r="B35" i="4"/>
  <c r="A36" i="4"/>
  <c r="A45" i="4"/>
  <c r="B39" i="4"/>
  <c r="L43" i="4"/>
  <c r="L39" i="4"/>
  <c r="L35" i="4"/>
  <c r="L29" i="4"/>
  <c r="L25" i="4"/>
  <c r="A28" i="5"/>
  <c r="A43" i="5"/>
  <c r="A35" i="5"/>
  <c r="A29" i="5"/>
  <c r="B41" i="5"/>
  <c r="N63" i="7"/>
  <c r="R26" i="7"/>
  <c r="J26" i="7"/>
  <c r="L45" i="5"/>
  <c r="N26" i="7"/>
  <c r="F26" i="7"/>
  <c r="B26" i="7"/>
  <c r="A40" i="3"/>
  <c r="B23" i="3"/>
  <c r="A39" i="3"/>
  <c r="A44" i="3"/>
  <c r="A42" i="3"/>
  <c r="A41" i="3"/>
  <c r="B35" i="2"/>
  <c r="B27" i="2"/>
  <c r="A23" i="2"/>
  <c r="A27" i="6"/>
  <c r="B32" i="6"/>
  <c r="B38" i="6"/>
  <c r="A41" i="6"/>
  <c r="A29" i="6"/>
  <c r="J44" i="6"/>
  <c r="J40" i="6"/>
  <c r="J36" i="6"/>
  <c r="J30" i="6"/>
  <c r="J28" i="6"/>
  <c r="J25" i="6"/>
  <c r="S21" i="6"/>
  <c r="T42" i="6"/>
  <c r="T34" i="6"/>
  <c r="T32" i="6"/>
  <c r="T28" i="6"/>
  <c r="T24" i="6"/>
  <c r="B26" i="4"/>
  <c r="A29" i="4"/>
  <c r="A34" i="4"/>
  <c r="B36" i="4"/>
  <c r="B45" i="4"/>
  <c r="A38" i="4"/>
  <c r="K43" i="4"/>
  <c r="K39" i="4"/>
  <c r="K35" i="4"/>
  <c r="K29" i="4"/>
  <c r="K25" i="4"/>
  <c r="B28" i="5"/>
  <c r="B43" i="5"/>
  <c r="B35" i="5"/>
  <c r="A40" i="5"/>
  <c r="A24" i="5"/>
  <c r="B29" i="5"/>
  <c r="A31" i="5"/>
  <c r="A25" i="5"/>
  <c r="A37" i="5"/>
  <c r="N67" i="7"/>
  <c r="R30" i="7"/>
  <c r="J30" i="7"/>
  <c r="N30" i="7"/>
  <c r="F30" i="7"/>
  <c r="B30" i="7"/>
  <c r="L36" i="5"/>
  <c r="B40" i="3"/>
  <c r="A23" i="3"/>
  <c r="B30" i="3"/>
  <c r="B25" i="3"/>
  <c r="A36" i="3"/>
  <c r="A35" i="2"/>
  <c r="A27" i="2"/>
  <c r="B24" i="2"/>
  <c r="B43" i="2"/>
  <c r="A44" i="2"/>
  <c r="A38" i="2"/>
  <c r="B33" i="2"/>
  <c r="B27" i="6"/>
  <c r="A32" i="6"/>
  <c r="A38" i="6"/>
  <c r="B34" i="6"/>
  <c r="B42" i="6"/>
  <c r="A22" i="6"/>
  <c r="A23" i="6"/>
  <c r="T21" i="6"/>
  <c r="S42" i="6"/>
  <c r="S38" i="6"/>
  <c r="S34" i="6"/>
  <c r="S32" i="6"/>
  <c r="S28" i="6"/>
  <c r="S24" i="6"/>
  <c r="A21" i="4"/>
  <c r="D26" i="4"/>
  <c r="F26" i="4" s="1"/>
  <c r="B29" i="4"/>
  <c r="B34" i="4"/>
  <c r="A33" i="4"/>
  <c r="A37" i="4"/>
  <c r="B38" i="4"/>
  <c r="K21" i="4"/>
  <c r="L38" i="4"/>
  <c r="L34" i="4"/>
  <c r="L28" i="4"/>
  <c r="L24" i="4"/>
  <c r="B24" i="5"/>
  <c r="B31" i="5"/>
  <c r="B25" i="5"/>
  <c r="N68" i="7"/>
  <c r="R24" i="7"/>
  <c r="J24" i="7"/>
  <c r="N24" i="7"/>
  <c r="F24" i="7"/>
  <c r="B24" i="7"/>
  <c r="L25" i="5"/>
  <c r="N70" i="7"/>
  <c r="L33" i="5"/>
  <c r="F37" i="7"/>
  <c r="B37" i="7"/>
  <c r="N37" i="7"/>
  <c r="R37" i="7"/>
  <c r="J37" i="7"/>
  <c r="N65" i="7"/>
  <c r="N23" i="7"/>
  <c r="F23" i="7"/>
  <c r="B23" i="7"/>
  <c r="L31" i="5"/>
  <c r="R23" i="7"/>
  <c r="J23" i="7"/>
  <c r="B34" i="3"/>
  <c r="A30" i="3"/>
  <c r="A25" i="3"/>
  <c r="B43" i="3"/>
  <c r="B21" i="3"/>
  <c r="B21" i="2"/>
  <c r="B26" i="2"/>
  <c r="A24" i="2"/>
  <c r="A43" i="2"/>
  <c r="B41" i="2"/>
  <c r="B39" i="2"/>
  <c r="B36" i="6"/>
  <c r="B45" i="6"/>
  <c r="A34" i="6"/>
  <c r="A42" i="6"/>
  <c r="B26" i="6"/>
  <c r="B31" i="6"/>
  <c r="J43" i="6"/>
  <c r="J39" i="6"/>
  <c r="J35" i="6"/>
  <c r="J21" i="6"/>
  <c r="J23" i="6"/>
  <c r="T45" i="6"/>
  <c r="T41" i="6"/>
  <c r="T33" i="6"/>
  <c r="T31" i="6"/>
  <c r="T27" i="6"/>
  <c r="T23" i="6"/>
  <c r="A28" i="4"/>
  <c r="D34" i="4"/>
  <c r="B33" i="4"/>
  <c r="B37" i="4"/>
  <c r="A40" i="4"/>
  <c r="L21" i="4"/>
  <c r="K42" i="4"/>
  <c r="K34" i="4"/>
  <c r="K32" i="4"/>
  <c r="K24" i="4"/>
  <c r="A45" i="5"/>
  <c r="A23" i="5"/>
  <c r="A21" i="5"/>
  <c r="A38" i="5"/>
  <c r="N73" i="7"/>
  <c r="R34" i="7"/>
  <c r="J34" i="7"/>
  <c r="N34" i="7"/>
  <c r="F34" i="7"/>
  <c r="B34" i="7"/>
  <c r="L22" i="5"/>
  <c r="M67" i="7"/>
  <c r="M30" i="7"/>
  <c r="E30" i="7"/>
  <c r="A30" i="7"/>
  <c r="K36" i="5"/>
  <c r="Q30" i="7"/>
  <c r="I30" i="7"/>
  <c r="M78" i="7"/>
  <c r="M20" i="7"/>
  <c r="E20" i="7"/>
  <c r="A20" i="7"/>
  <c r="K43" i="5"/>
  <c r="Q20" i="7"/>
  <c r="I20" i="7"/>
  <c r="N66" i="7"/>
  <c r="F29" i="7"/>
  <c r="B29" i="7"/>
  <c r="L37" i="5"/>
  <c r="R29" i="7"/>
  <c r="J29" i="7"/>
  <c r="N29" i="7"/>
  <c r="N79" i="7"/>
  <c r="L41" i="5"/>
  <c r="N19" i="7"/>
  <c r="F19" i="7"/>
  <c r="B19" i="7"/>
  <c r="R19" i="7"/>
  <c r="J19" i="7"/>
  <c r="M70" i="7"/>
  <c r="M37" i="7"/>
  <c r="K33" i="5"/>
  <c r="E37" i="7"/>
  <c r="Q37" i="7"/>
  <c r="I37" i="7"/>
  <c r="A37" i="7"/>
  <c r="M66" i="7"/>
  <c r="A29" i="7"/>
  <c r="M29" i="7"/>
  <c r="E29" i="7"/>
  <c r="Q29" i="7"/>
  <c r="I29" i="7"/>
  <c r="K37" i="5"/>
  <c r="M72" i="7"/>
  <c r="K39" i="5"/>
  <c r="M15" i="7"/>
  <c r="A15" i="7"/>
  <c r="E15" i="7"/>
  <c r="Q15" i="7"/>
  <c r="I15" i="7"/>
  <c r="A34" i="3"/>
  <c r="B37" i="3"/>
  <c r="B29" i="3"/>
  <c r="A43" i="3"/>
  <c r="A21" i="3"/>
  <c r="B26" i="3"/>
  <c r="A21" i="2"/>
  <c r="A26" i="2"/>
  <c r="B29" i="2"/>
  <c r="B32" i="2"/>
  <c r="A41" i="2"/>
  <c r="A39" i="2"/>
  <c r="B36" i="2"/>
  <c r="A36" i="6"/>
  <c r="A45" i="6"/>
  <c r="B37" i="6"/>
  <c r="B24" i="6"/>
  <c r="D30" i="6"/>
  <c r="F30" i="6" s="1"/>
  <c r="A26" i="6"/>
  <c r="A31" i="6"/>
  <c r="J24" i="6"/>
  <c r="K42" i="6"/>
  <c r="K38" i="6"/>
  <c r="K34" i="6"/>
  <c r="K32" i="6"/>
  <c r="K29" i="6"/>
  <c r="K27" i="6"/>
  <c r="S45" i="6"/>
  <c r="S41" i="6"/>
  <c r="S37" i="6"/>
  <c r="S33" i="6"/>
  <c r="S31" i="6"/>
  <c r="S27" i="6"/>
  <c r="S23" i="6"/>
  <c r="A23" i="4"/>
  <c r="B25" i="4"/>
  <c r="A43" i="4"/>
  <c r="A44" i="4"/>
  <c r="D37" i="4"/>
  <c r="B40" i="4"/>
  <c r="L45" i="4"/>
  <c r="L41" i="4"/>
  <c r="L37" i="4"/>
  <c r="L33" i="4"/>
  <c r="L31" i="4"/>
  <c r="L27" i="4"/>
  <c r="L23" i="4"/>
  <c r="B45" i="5"/>
  <c r="B33" i="5"/>
  <c r="B23" i="5"/>
  <c r="A26" i="5"/>
  <c r="B21" i="5"/>
  <c r="B38" i="5"/>
  <c r="A30" i="5"/>
  <c r="A22" i="5"/>
  <c r="B42" i="5"/>
  <c r="N24" i="6"/>
  <c r="D41" i="6"/>
  <c r="D22" i="6"/>
  <c r="D27" i="4"/>
  <c r="F27" i="4" s="1"/>
  <c r="D28" i="6"/>
  <c r="D21" i="4"/>
  <c r="D39" i="4"/>
  <c r="D40" i="6"/>
  <c r="D23" i="6"/>
  <c r="F23" i="6" s="1"/>
  <c r="D31" i="4"/>
  <c r="D36" i="2"/>
  <c r="D33" i="6"/>
  <c r="D39" i="6"/>
  <c r="D35" i="6"/>
  <c r="D29" i="6"/>
  <c r="D43" i="4"/>
  <c r="D28" i="2"/>
  <c r="D38" i="2"/>
  <c r="D45" i="6"/>
  <c r="F45" i="6" s="1"/>
  <c r="D24" i="6"/>
  <c r="F24" i="6" s="1"/>
  <c r="D25" i="2"/>
  <c r="D31" i="2"/>
  <c r="D20" i="2"/>
  <c r="G37" i="3"/>
  <c r="C4" i="5"/>
  <c r="C5" i="5"/>
  <c r="N41" i="6"/>
  <c r="N33" i="6"/>
  <c r="N45" i="6"/>
  <c r="N25" i="6"/>
  <c r="N39" i="6"/>
  <c r="N43" i="6"/>
  <c r="N28" i="6"/>
  <c r="N42" i="6"/>
  <c r="N34" i="6"/>
  <c r="N27" i="6"/>
  <c r="N26" i="6"/>
  <c r="N37" i="6"/>
  <c r="N31" i="6"/>
  <c r="N21" i="6"/>
  <c r="N36" i="6"/>
  <c r="N22" i="6"/>
  <c r="N38" i="6"/>
  <c r="N32" i="6"/>
  <c r="N30" i="6"/>
  <c r="N29" i="6"/>
  <c r="N35" i="6"/>
  <c r="N23" i="6"/>
  <c r="L4" i="6"/>
  <c r="N40" i="6"/>
  <c r="N44" i="6"/>
  <c r="L5" i="6"/>
  <c r="C15" i="2"/>
  <c r="G42" i="3"/>
  <c r="G40" i="3"/>
  <c r="G32" i="3"/>
  <c r="M8" i="9"/>
  <c r="T6" i="10"/>
  <c r="S6" i="10"/>
  <c r="R6" i="10"/>
  <c r="Q6" i="10"/>
  <c r="P6" i="10"/>
  <c r="O6" i="10"/>
  <c r="B8" i="9"/>
  <c r="A8" i="9"/>
  <c r="J8" i="9"/>
  <c r="H8" i="9"/>
  <c r="F8" i="9"/>
  <c r="C8" i="9"/>
  <c r="N6" i="10"/>
  <c r="M6" i="10"/>
  <c r="L6" i="10"/>
  <c r="K6" i="10"/>
  <c r="J6" i="10"/>
  <c r="I6" i="10"/>
  <c r="H6" i="10"/>
  <c r="D6" i="10"/>
  <c r="C6" i="10"/>
  <c r="B1" i="6"/>
  <c r="A9" i="10"/>
  <c r="A10" i="10"/>
  <c r="A11" i="10"/>
  <c r="A12" i="10"/>
  <c r="A13" i="10"/>
  <c r="A14" i="10"/>
  <c r="A15" i="10"/>
  <c r="A16" i="10"/>
  <c r="A17" i="10"/>
  <c r="A18" i="10"/>
  <c r="A19" i="10"/>
  <c r="A8" i="10"/>
  <c r="B9" i="10"/>
  <c r="B10" i="10"/>
  <c r="B11" i="10"/>
  <c r="B13" i="10"/>
  <c r="B12" i="10"/>
  <c r="B14" i="10"/>
  <c r="B15" i="10"/>
  <c r="B16" i="10"/>
  <c r="B17" i="10"/>
  <c r="B18" i="10"/>
  <c r="B19" i="10"/>
  <c r="B20" i="10"/>
  <c r="B21" i="10"/>
  <c r="B22" i="10"/>
  <c r="B23" i="10"/>
  <c r="B24" i="10"/>
  <c r="B25" i="10"/>
  <c r="B26" i="10"/>
  <c r="B27" i="10"/>
  <c r="B28" i="10"/>
  <c r="B8" i="10"/>
  <c r="D31" i="13"/>
  <c r="D32" i="13" s="1"/>
  <c r="B31" i="13"/>
  <c r="N7" i="10"/>
  <c r="M7" i="10"/>
  <c r="L7" i="10"/>
  <c r="K7" i="10"/>
  <c r="J7" i="10"/>
  <c r="I7" i="10"/>
  <c r="H7" i="10"/>
  <c r="G7" i="10"/>
  <c r="V3" i="6" s="1"/>
  <c r="F7" i="10"/>
  <c r="M3" i="6" s="1"/>
  <c r="E7" i="10"/>
  <c r="D7" i="10"/>
  <c r="C7" i="10"/>
  <c r="N5" i="10"/>
  <c r="M5" i="10"/>
  <c r="L5" i="10"/>
  <c r="K5" i="10"/>
  <c r="I5" i="10"/>
  <c r="L7" i="4" s="1"/>
  <c r="H5" i="10"/>
  <c r="B7" i="4" s="1"/>
  <c r="G5" i="10"/>
  <c r="T7" i="6" s="1"/>
  <c r="E5" i="10"/>
  <c r="T5" i="10"/>
  <c r="S5" i="10"/>
  <c r="R5" i="10"/>
  <c r="Q5" i="10"/>
  <c r="P5" i="10"/>
  <c r="O5" i="10"/>
  <c r="E7" i="9"/>
  <c r="U3" i="6" s="1"/>
  <c r="D7" i="9"/>
  <c r="L3" i="6" s="1"/>
  <c r="C7" i="9"/>
  <c r="C3" i="6" s="1"/>
  <c r="L7" i="9"/>
  <c r="K7" i="9"/>
  <c r="I7" i="9"/>
  <c r="G7" i="9"/>
  <c r="B7" i="9"/>
  <c r="F7" i="9"/>
  <c r="H7" i="9"/>
  <c r="J7" i="9"/>
  <c r="A7" i="9"/>
  <c r="L9" i="10" l="1"/>
  <c r="H18" i="10"/>
  <c r="L17" i="10"/>
  <c r="E29" i="10"/>
  <c r="E31" i="10"/>
  <c r="H20" i="10"/>
  <c r="L15" i="10"/>
  <c r="L14" i="10"/>
  <c r="L8" i="10"/>
  <c r="E12" i="10"/>
  <c r="E8" i="10"/>
  <c r="H29" i="10"/>
  <c r="L16" i="10"/>
  <c r="H8" i="10"/>
  <c r="H15" i="10"/>
  <c r="E18" i="10"/>
  <c r="H31" i="10"/>
  <c r="L12" i="10"/>
  <c r="L20" i="10"/>
  <c r="L13" i="10"/>
  <c r="E14" i="10"/>
  <c r="H16" i="10"/>
  <c r="H10" i="10"/>
  <c r="L19" i="10"/>
  <c r="L11" i="10"/>
  <c r="H9" i="10"/>
  <c r="H12" i="10"/>
  <c r="E20" i="10"/>
  <c r="L18" i="10"/>
  <c r="L10" i="10"/>
  <c r="E10" i="10"/>
  <c r="E15" i="10"/>
  <c r="H13" i="10"/>
  <c r="H7" i="15"/>
  <c r="C27" i="15"/>
  <c r="H20" i="15"/>
  <c r="C10" i="15"/>
  <c r="E32" i="10"/>
  <c r="E27" i="10"/>
  <c r="E28" i="10"/>
  <c r="E30" i="10"/>
  <c r="H24" i="10"/>
  <c r="H32" i="10"/>
  <c r="H17" i="10"/>
  <c r="H26" i="10"/>
  <c r="H27" i="10"/>
  <c r="H28" i="10"/>
  <c r="H22" i="10"/>
  <c r="H30" i="10"/>
  <c r="H23" i="10"/>
  <c r="C39" i="13"/>
  <c r="B32" i="13"/>
  <c r="D15" i="10"/>
  <c r="P15" i="10" s="1"/>
  <c r="D10" i="10"/>
  <c r="L21" i="10"/>
  <c r="L29" i="10"/>
  <c r="L22" i="10"/>
  <c r="L30" i="10"/>
  <c r="L23" i="10"/>
  <c r="L31" i="10"/>
  <c r="L24" i="10"/>
  <c r="L32" i="10"/>
  <c r="L25" i="10"/>
  <c r="L26" i="10"/>
  <c r="L27" i="10"/>
  <c r="L28" i="10"/>
  <c r="H25" i="15"/>
  <c r="H28" i="15"/>
  <c r="C15" i="15"/>
  <c r="H22" i="15"/>
  <c r="H21" i="15"/>
  <c r="H12" i="15"/>
  <c r="H18" i="15"/>
  <c r="H6" i="15"/>
  <c r="H14" i="15"/>
  <c r="H17" i="15"/>
  <c r="H8" i="15"/>
  <c r="H27" i="15"/>
  <c r="H11" i="15"/>
  <c r="C14" i="15"/>
  <c r="C23" i="15"/>
  <c r="C11" i="15"/>
  <c r="C12" i="15"/>
  <c r="C25" i="15"/>
  <c r="C28" i="15"/>
  <c r="E25" i="2"/>
  <c r="E31" i="2"/>
  <c r="V23" i="5"/>
  <c r="V22" i="5"/>
  <c r="V28" i="5"/>
  <c r="V24" i="5"/>
  <c r="V25" i="5"/>
  <c r="V26" i="5"/>
  <c r="V27" i="5"/>
  <c r="V30" i="5"/>
  <c r="V29" i="5"/>
  <c r="E36" i="2"/>
  <c r="E28" i="2"/>
  <c r="D3" i="6"/>
  <c r="E24" i="4"/>
  <c r="G20" i="2"/>
  <c r="E20" i="2"/>
  <c r="G23" i="2"/>
  <c r="D22" i="10" s="1"/>
  <c r="E23" i="2"/>
  <c r="G27" i="2"/>
  <c r="E27" i="2"/>
  <c r="G29" i="2"/>
  <c r="E29" i="2"/>
  <c r="G30" i="2"/>
  <c r="E30" i="2"/>
  <c r="G41" i="2"/>
  <c r="E41" i="2"/>
  <c r="G32" i="2"/>
  <c r="D18" i="10" s="1"/>
  <c r="P18" i="10" s="1"/>
  <c r="E32" i="2"/>
  <c r="G22" i="2"/>
  <c r="E22" i="2"/>
  <c r="G39" i="2"/>
  <c r="D11" i="10" s="1"/>
  <c r="E39" i="2"/>
  <c r="G34" i="2"/>
  <c r="D27" i="10" s="1"/>
  <c r="P27" i="10" s="1"/>
  <c r="E34" i="2"/>
  <c r="G38" i="2"/>
  <c r="D12" i="10" s="1"/>
  <c r="E38" i="2"/>
  <c r="G24" i="2"/>
  <c r="E24" i="2"/>
  <c r="G26" i="2"/>
  <c r="E26" i="2"/>
  <c r="G42" i="2"/>
  <c r="D14" i="10" s="1"/>
  <c r="P14" i="10" s="1"/>
  <c r="E42" i="2"/>
  <c r="G44" i="2"/>
  <c r="D16" i="10" s="1"/>
  <c r="E44" i="2"/>
  <c r="G43" i="2"/>
  <c r="D19" i="10" s="1"/>
  <c r="E43" i="2"/>
  <c r="G37" i="2"/>
  <c r="D30" i="10" s="1"/>
  <c r="E37" i="2"/>
  <c r="G35" i="2"/>
  <c r="D29" i="10" s="1"/>
  <c r="P29" i="10" s="1"/>
  <c r="E35" i="2"/>
  <c r="G33" i="2"/>
  <c r="D32" i="10" s="1"/>
  <c r="P32" i="10" s="1"/>
  <c r="E33" i="2"/>
  <c r="E40" i="2"/>
  <c r="E34" i="3"/>
  <c r="G21" i="2"/>
  <c r="E21" i="2"/>
  <c r="C9" i="10"/>
  <c r="O9" i="10" s="1"/>
  <c r="C17" i="10"/>
  <c r="O17" i="10" s="1"/>
  <c r="C8" i="10"/>
  <c r="O8" i="10" s="1"/>
  <c r="C10" i="10"/>
  <c r="O10" i="10" s="1"/>
  <c r="C26" i="10"/>
  <c r="O26" i="10" s="1"/>
  <c r="C16" i="10"/>
  <c r="O16" i="10" s="1"/>
  <c r="C11" i="10"/>
  <c r="O11" i="10" s="1"/>
  <c r="C19" i="10"/>
  <c r="O19" i="10" s="1"/>
  <c r="C27" i="10"/>
  <c r="O27" i="10" s="1"/>
  <c r="C12" i="10"/>
  <c r="O12" i="10" s="1"/>
  <c r="C28" i="10"/>
  <c r="O28" i="10" s="1"/>
  <c r="C32" i="10"/>
  <c r="O32" i="10" s="1"/>
  <c r="C13" i="10"/>
  <c r="O13" i="10" s="1"/>
  <c r="C21" i="10"/>
  <c r="O21" i="10" s="1"/>
  <c r="C29" i="10"/>
  <c r="O29" i="10" s="1"/>
  <c r="C14" i="10"/>
  <c r="O14" i="10" s="1"/>
  <c r="C22" i="10"/>
  <c r="O22" i="10" s="1"/>
  <c r="C30" i="10"/>
  <c r="O30" i="10" s="1"/>
  <c r="C23" i="10"/>
  <c r="O23" i="10" s="1"/>
  <c r="C31" i="10"/>
  <c r="O31" i="10" s="1"/>
  <c r="F30" i="3"/>
  <c r="E31" i="3"/>
  <c r="E24" i="3"/>
  <c r="E29" i="3"/>
  <c r="E30" i="3"/>
  <c r="E35" i="3"/>
  <c r="F28" i="3"/>
  <c r="F43" i="3"/>
  <c r="E38" i="4"/>
  <c r="F21" i="3"/>
  <c r="F29" i="3"/>
  <c r="E36" i="4"/>
  <c r="G24" i="3"/>
  <c r="C20" i="10" s="1"/>
  <c r="O20" i="10" s="1"/>
  <c r="C3" i="3"/>
  <c r="F41" i="3"/>
  <c r="F23" i="3"/>
  <c r="E44" i="3"/>
  <c r="E25" i="3"/>
  <c r="C4" i="3"/>
  <c r="C22" i="15"/>
  <c r="E36" i="3"/>
  <c r="E41" i="3"/>
  <c r="F20" i="3"/>
  <c r="F37" i="3"/>
  <c r="E21" i="3"/>
  <c r="F27" i="3"/>
  <c r="F35" i="3"/>
  <c r="G35" i="3"/>
  <c r="G30" i="3"/>
  <c r="E42" i="4"/>
  <c r="E45" i="4"/>
  <c r="E40" i="4"/>
  <c r="E37" i="3"/>
  <c r="E33" i="3"/>
  <c r="F39" i="3"/>
  <c r="E28" i="3"/>
  <c r="E23" i="3"/>
  <c r="F31" i="3"/>
  <c r="E20" i="3"/>
  <c r="G29" i="3"/>
  <c r="C24" i="10" s="1"/>
  <c r="O24" i="10" s="1"/>
  <c r="E23" i="4"/>
  <c r="E35" i="4"/>
  <c r="C19" i="15"/>
  <c r="E26" i="3"/>
  <c r="F26" i="3"/>
  <c r="F34" i="3"/>
  <c r="E30" i="4"/>
  <c r="G21" i="3"/>
  <c r="E27" i="3"/>
  <c r="F32" i="3"/>
  <c r="E42" i="3"/>
  <c r="E43" i="3"/>
  <c r="F40" i="3"/>
  <c r="F33" i="3"/>
  <c r="E32" i="3"/>
  <c r="F25" i="3"/>
  <c r="F22" i="3"/>
  <c r="F24" i="3"/>
  <c r="F44" i="3"/>
  <c r="E38" i="3"/>
  <c r="E22" i="3"/>
  <c r="F38" i="3"/>
  <c r="F36" i="3"/>
  <c r="F42" i="3"/>
  <c r="E39" i="3"/>
  <c r="E40" i="3"/>
  <c r="N12" i="10"/>
  <c r="N13" i="10"/>
  <c r="Q44" i="5"/>
  <c r="K9" i="10" s="1"/>
  <c r="P44" i="5"/>
  <c r="P43" i="5"/>
  <c r="Q43" i="5"/>
  <c r="K15" i="10" s="1"/>
  <c r="P45" i="5"/>
  <c r="Q45" i="5"/>
  <c r="K21" i="10" s="1"/>
  <c r="P23" i="5"/>
  <c r="Q23" i="5"/>
  <c r="K30" i="10" s="1"/>
  <c r="Q39" i="5"/>
  <c r="K10" i="10" s="1"/>
  <c r="P39" i="5"/>
  <c r="P21" i="5"/>
  <c r="K16" i="10"/>
  <c r="Q35" i="5"/>
  <c r="K22" i="10" s="1"/>
  <c r="P35" i="5"/>
  <c r="P24" i="5"/>
  <c r="Q24" i="5"/>
  <c r="K31" i="10" s="1"/>
  <c r="G13" i="10"/>
  <c r="G12" i="10"/>
  <c r="Q26" i="5"/>
  <c r="K11" i="10" s="1"/>
  <c r="P26" i="5"/>
  <c r="P34" i="5"/>
  <c r="Q34" i="5"/>
  <c r="K17" i="10" s="1"/>
  <c r="Q38" i="5"/>
  <c r="K23" i="10" s="1"/>
  <c r="P38" i="5"/>
  <c r="Q27" i="5"/>
  <c r="K13" i="10" s="1"/>
  <c r="P27" i="5"/>
  <c r="M12" i="10"/>
  <c r="M13" i="10"/>
  <c r="P30" i="5"/>
  <c r="Q30" i="5"/>
  <c r="K12" i="10" s="1"/>
  <c r="P31" i="5"/>
  <c r="Q31" i="5"/>
  <c r="K18" i="10" s="1"/>
  <c r="Q37" i="5"/>
  <c r="K24" i="10" s="1"/>
  <c r="P37" i="5"/>
  <c r="Q25" i="5"/>
  <c r="K19" i="10" s="1"/>
  <c r="P25" i="5"/>
  <c r="Q36" i="5"/>
  <c r="K25" i="10" s="1"/>
  <c r="P36" i="5"/>
  <c r="P33" i="5"/>
  <c r="Q32" i="5"/>
  <c r="K26" i="10" s="1"/>
  <c r="P32" i="5"/>
  <c r="Q28" i="5"/>
  <c r="K27" i="10" s="1"/>
  <c r="P28" i="5"/>
  <c r="Q42" i="5"/>
  <c r="K8" i="10" s="1"/>
  <c r="P42" i="5"/>
  <c r="Q41" i="5"/>
  <c r="K14" i="10" s="1"/>
  <c r="P41" i="5"/>
  <c r="P40" i="5"/>
  <c r="Q40" i="5"/>
  <c r="K20" i="10" s="1"/>
  <c r="P22" i="5"/>
  <c r="Q22" i="5"/>
  <c r="K29" i="10" s="1"/>
  <c r="C18" i="15"/>
  <c r="C13" i="15"/>
  <c r="C16" i="15"/>
  <c r="I12" i="10"/>
  <c r="I13" i="10"/>
  <c r="E31" i="4"/>
  <c r="F31" i="4"/>
  <c r="H11" i="10" s="1"/>
  <c r="E39" i="4"/>
  <c r="F39" i="4"/>
  <c r="H25" i="10" s="1"/>
  <c r="E27" i="4"/>
  <c r="F34" i="4"/>
  <c r="H21" i="10" s="1"/>
  <c r="E43" i="4"/>
  <c r="F43" i="4"/>
  <c r="H19" i="10" s="1"/>
  <c r="F21" i="4"/>
  <c r="H14" i="10" s="1"/>
  <c r="C4" i="15"/>
  <c r="C20" i="15"/>
  <c r="C17" i="15"/>
  <c r="U6" i="10"/>
  <c r="A25" i="16"/>
  <c r="A28" i="14"/>
  <c r="A28" i="11"/>
  <c r="A7" i="12"/>
  <c r="B15" i="16"/>
  <c r="B23" i="14"/>
  <c r="B12" i="12"/>
  <c r="B17" i="11"/>
  <c r="A20" i="16"/>
  <c r="A7" i="14"/>
  <c r="A11" i="11"/>
  <c r="A19" i="12"/>
  <c r="B27" i="16"/>
  <c r="B14" i="14"/>
  <c r="G20" i="15" s="1"/>
  <c r="N19" i="15" s="1"/>
  <c r="B22" i="11"/>
  <c r="B11" i="12"/>
  <c r="A11" i="16"/>
  <c r="A21" i="14"/>
  <c r="A5" i="12"/>
  <c r="A12" i="11"/>
  <c r="B17" i="16"/>
  <c r="K32" i="10"/>
  <c r="B18" i="14"/>
  <c r="B21" i="11"/>
  <c r="B17" i="12"/>
  <c r="B21" i="16"/>
  <c r="B13" i="14"/>
  <c r="B20" i="11"/>
  <c r="T20" i="15" s="1"/>
  <c r="AA19" i="15" s="1"/>
  <c r="B10" i="12"/>
  <c r="B14" i="16"/>
  <c r="B19" i="14"/>
  <c r="G28" i="15" s="1"/>
  <c r="B16" i="11"/>
  <c r="B16" i="12"/>
  <c r="B7" i="16"/>
  <c r="B11" i="14"/>
  <c r="B6" i="11"/>
  <c r="B14" i="12"/>
  <c r="A23" i="16"/>
  <c r="A22" i="14"/>
  <c r="A18" i="12"/>
  <c r="A27" i="11"/>
  <c r="A8" i="16"/>
  <c r="A26" i="14"/>
  <c r="A19" i="11"/>
  <c r="A24" i="12"/>
  <c r="A4" i="16"/>
  <c r="A20" i="14"/>
  <c r="A7" i="11"/>
  <c r="A28" i="12"/>
  <c r="B8" i="16"/>
  <c r="B26" i="14"/>
  <c r="B24" i="12"/>
  <c r="B19" i="11"/>
  <c r="B26" i="16"/>
  <c r="B24" i="14"/>
  <c r="G4" i="15" s="1"/>
  <c r="N15" i="15" s="1"/>
  <c r="P15" i="15" s="1"/>
  <c r="Q15" i="15" s="1"/>
  <c r="B25" i="11"/>
  <c r="B6" i="12"/>
  <c r="A5" i="16"/>
  <c r="A6" i="14"/>
  <c r="F10" i="15" s="1"/>
  <c r="M4" i="15" s="1"/>
  <c r="A26" i="12"/>
  <c r="A4" i="11"/>
  <c r="S10" i="15" s="1"/>
  <c r="Z4" i="15" s="1"/>
  <c r="B24" i="16"/>
  <c r="B4" i="14"/>
  <c r="B10" i="11"/>
  <c r="B21" i="12"/>
  <c r="B26" i="15" s="1"/>
  <c r="B25" i="16"/>
  <c r="B28" i="14"/>
  <c r="G9" i="15" s="1"/>
  <c r="B28" i="11"/>
  <c r="B7" i="12"/>
  <c r="B4" i="16"/>
  <c r="B20" i="14"/>
  <c r="B7" i="11"/>
  <c r="B28" i="12"/>
  <c r="B7" i="15" s="1"/>
  <c r="A26" i="16"/>
  <c r="A24" i="14"/>
  <c r="F4" i="15" s="1"/>
  <c r="M15" i="15" s="1"/>
  <c r="A25" i="11"/>
  <c r="A6" i="12"/>
  <c r="A27" i="16"/>
  <c r="A14" i="14"/>
  <c r="A22" i="11"/>
  <c r="A11" i="12"/>
  <c r="A13" i="16"/>
  <c r="A27" i="14"/>
  <c r="F15" i="15" s="1"/>
  <c r="A26" i="11"/>
  <c r="A27" i="12"/>
  <c r="A9" i="16"/>
  <c r="A10" i="14"/>
  <c r="A8" i="11"/>
  <c r="A23" i="12"/>
  <c r="B23" i="16"/>
  <c r="B22" i="14"/>
  <c r="B18" i="12"/>
  <c r="B27" i="11"/>
  <c r="A24" i="16"/>
  <c r="A4" i="14"/>
  <c r="F11" i="15" s="1"/>
  <c r="M5" i="15" s="1"/>
  <c r="A10" i="11"/>
  <c r="A21" i="12"/>
  <c r="A26" i="15" s="1"/>
  <c r="A10" i="16"/>
  <c r="A5" i="14"/>
  <c r="A5" i="11"/>
  <c r="S11" i="15" s="1"/>
  <c r="Z5" i="15" s="1"/>
  <c r="A25" i="12"/>
  <c r="B9" i="16"/>
  <c r="B10" i="14"/>
  <c r="G25" i="15" s="1"/>
  <c r="N8" i="15" s="1"/>
  <c r="B23" i="12"/>
  <c r="B8" i="11"/>
  <c r="B16" i="16"/>
  <c r="B17" i="14"/>
  <c r="G19" i="15" s="1"/>
  <c r="B9" i="12"/>
  <c r="B14" i="11"/>
  <c r="A15" i="16"/>
  <c r="A23" i="14"/>
  <c r="A17" i="11"/>
  <c r="A12" i="12"/>
  <c r="B20" i="16"/>
  <c r="B7" i="14"/>
  <c r="B19" i="12"/>
  <c r="B11" i="11"/>
  <c r="B28" i="16"/>
  <c r="B9" i="14"/>
  <c r="B23" i="11"/>
  <c r="B8" i="12"/>
  <c r="B10" i="16"/>
  <c r="B5" i="14"/>
  <c r="B25" i="12"/>
  <c r="B9" i="15" s="1"/>
  <c r="B5" i="11"/>
  <c r="T11" i="15" s="1"/>
  <c r="AA5" i="15" s="1"/>
  <c r="A17" i="16"/>
  <c r="A18" i="14"/>
  <c r="A21" i="11"/>
  <c r="S18" i="15" s="1"/>
  <c r="A17" i="12"/>
  <c r="A21" i="16"/>
  <c r="A13" i="14"/>
  <c r="A10" i="12"/>
  <c r="A20" i="11"/>
  <c r="S20" i="15" s="1"/>
  <c r="Z19" i="15" s="1"/>
  <c r="A14" i="16"/>
  <c r="A19" i="14"/>
  <c r="A16" i="11"/>
  <c r="A16" i="12"/>
  <c r="A7" i="16"/>
  <c r="A11" i="14"/>
  <c r="A14" i="12"/>
  <c r="A6" i="11"/>
  <c r="B6" i="16"/>
  <c r="B16" i="14"/>
  <c r="B9" i="11"/>
  <c r="B22" i="12"/>
  <c r="A28" i="16"/>
  <c r="A9" i="14"/>
  <c r="A23" i="11"/>
  <c r="S9" i="15" s="1"/>
  <c r="A8" i="12"/>
  <c r="B13" i="16"/>
  <c r="B27" i="14"/>
  <c r="G15" i="15" s="1"/>
  <c r="B27" i="12"/>
  <c r="B26" i="11"/>
  <c r="A19" i="16"/>
  <c r="A8" i="14"/>
  <c r="F16" i="15" s="1"/>
  <c r="A13" i="12"/>
  <c r="A15" i="11"/>
  <c r="B22" i="16"/>
  <c r="B12" i="14"/>
  <c r="B20" i="12"/>
  <c r="B24" i="11"/>
  <c r="B12" i="16"/>
  <c r="B15" i="14"/>
  <c r="G13" i="15" s="1"/>
  <c r="B15" i="12"/>
  <c r="B13" i="11"/>
  <c r="B18" i="16"/>
  <c r="B25" i="14"/>
  <c r="G5" i="15" s="1"/>
  <c r="N17" i="15" s="1"/>
  <c r="P17" i="15" s="1"/>
  <c r="Q17" i="15" s="1"/>
  <c r="B4" i="12"/>
  <c r="B5" i="15" s="1"/>
  <c r="B18" i="11"/>
  <c r="T14" i="15" s="1"/>
  <c r="A6" i="16"/>
  <c r="A16" i="14"/>
  <c r="A9" i="11"/>
  <c r="A22" i="12"/>
  <c r="B11" i="16"/>
  <c r="B21" i="14"/>
  <c r="G12" i="15" s="1"/>
  <c r="N9" i="15" s="1"/>
  <c r="B12" i="11"/>
  <c r="B5" i="12"/>
  <c r="B19" i="16"/>
  <c r="B8" i="14"/>
  <c r="G16" i="15" s="1"/>
  <c r="B15" i="11"/>
  <c r="B13" i="12"/>
  <c r="B5" i="16"/>
  <c r="AG12" i="15" s="1"/>
  <c r="B6" i="14"/>
  <c r="G10" i="15" s="1"/>
  <c r="N4" i="15" s="1"/>
  <c r="B4" i="11"/>
  <c r="T10" i="15" s="1"/>
  <c r="AA4" i="15" s="1"/>
  <c r="B26" i="12"/>
  <c r="A22" i="16"/>
  <c r="A12" i="14"/>
  <c r="A24" i="11"/>
  <c r="A20" i="12"/>
  <c r="A16" i="16"/>
  <c r="AF22" i="15" s="1"/>
  <c r="A17" i="14"/>
  <c r="F19" i="15" s="1"/>
  <c r="A9" i="12"/>
  <c r="A14" i="11"/>
  <c r="A12" i="16"/>
  <c r="A15" i="14"/>
  <c r="F13" i="15" s="1"/>
  <c r="A15" i="12"/>
  <c r="A13" i="11"/>
  <c r="A18" i="16"/>
  <c r="A25" i="14"/>
  <c r="F5" i="15" s="1"/>
  <c r="M17" i="15" s="1"/>
  <c r="A4" i="12"/>
  <c r="A5" i="15" s="1"/>
  <c r="A18" i="11"/>
  <c r="P29" i="5"/>
  <c r="Q29" i="5"/>
  <c r="K28" i="10" s="1"/>
  <c r="J15" i="10"/>
  <c r="J21" i="10"/>
  <c r="J29" i="10"/>
  <c r="J16" i="10"/>
  <c r="J22" i="10"/>
  <c r="S22" i="10" s="1"/>
  <c r="J30" i="10"/>
  <c r="J9" i="10"/>
  <c r="J17" i="10"/>
  <c r="J23" i="10"/>
  <c r="J31" i="10"/>
  <c r="J28" i="10"/>
  <c r="J10" i="10"/>
  <c r="J18" i="10"/>
  <c r="J24" i="10"/>
  <c r="J32" i="10"/>
  <c r="J11" i="10"/>
  <c r="J19" i="10"/>
  <c r="J25" i="10"/>
  <c r="J8" i="10"/>
  <c r="J14" i="10"/>
  <c r="J12" i="10"/>
  <c r="J26" i="10"/>
  <c r="J20" i="10"/>
  <c r="J13" i="10"/>
  <c r="J27" i="10"/>
  <c r="G6" i="10"/>
  <c r="F6" i="10"/>
  <c r="E6" i="10"/>
  <c r="F22" i="6"/>
  <c r="E16" i="10" s="1"/>
  <c r="G14" i="10"/>
  <c r="G11" i="10"/>
  <c r="E28" i="4"/>
  <c r="E29" i="4"/>
  <c r="E37" i="4"/>
  <c r="E41" i="4"/>
  <c r="E25" i="4"/>
  <c r="E22" i="4"/>
  <c r="E34" i="4"/>
  <c r="E26" i="4"/>
  <c r="E26" i="6"/>
  <c r="E22" i="6"/>
  <c r="G19" i="10"/>
  <c r="G25" i="10"/>
  <c r="G32" i="10"/>
  <c r="G24" i="10"/>
  <c r="E31" i="6"/>
  <c r="G31" i="10"/>
  <c r="G22" i="10"/>
  <c r="G29" i="10"/>
  <c r="E29" i="6"/>
  <c r="E23" i="6"/>
  <c r="E34" i="6"/>
  <c r="E24" i="6"/>
  <c r="E38" i="6"/>
  <c r="E45" i="6"/>
  <c r="E39" i="6"/>
  <c r="E40" i="6"/>
  <c r="E41" i="6"/>
  <c r="E37" i="6"/>
  <c r="E42" i="6"/>
  <c r="E30" i="6"/>
  <c r="E21" i="6"/>
  <c r="C4" i="4"/>
  <c r="E28" i="6"/>
  <c r="E27" i="6"/>
  <c r="E36" i="6"/>
  <c r="E43" i="6"/>
  <c r="E25" i="6"/>
  <c r="E21" i="4"/>
  <c r="E35" i="6"/>
  <c r="C5" i="6"/>
  <c r="C3" i="2"/>
  <c r="C4" i="6"/>
  <c r="G28" i="2"/>
  <c r="D26" i="10" s="1"/>
  <c r="G36" i="2"/>
  <c r="D31" i="10" s="1"/>
  <c r="G25" i="2"/>
  <c r="D23" i="10" s="1"/>
  <c r="G31" i="2"/>
  <c r="D17" i="10" s="1"/>
  <c r="C5" i="4"/>
  <c r="G40" i="2"/>
  <c r="D13" i="10" s="1"/>
  <c r="C4" i="2"/>
  <c r="M31" i="10"/>
  <c r="N31" i="10"/>
  <c r="I31" i="10"/>
  <c r="M23" i="10"/>
  <c r="N23" i="10"/>
  <c r="I23" i="10"/>
  <c r="M17" i="10"/>
  <c r="N17" i="10"/>
  <c r="I17" i="10"/>
  <c r="M9" i="10"/>
  <c r="N9" i="10"/>
  <c r="I9" i="10"/>
  <c r="G17" i="10"/>
  <c r="N29" i="10"/>
  <c r="M29" i="10"/>
  <c r="I29" i="10"/>
  <c r="N21" i="10"/>
  <c r="M21" i="10"/>
  <c r="I21" i="10"/>
  <c r="N15" i="10"/>
  <c r="M15" i="10"/>
  <c r="I15" i="10"/>
  <c r="N28" i="10"/>
  <c r="M28" i="10"/>
  <c r="I28" i="10"/>
  <c r="N20" i="10"/>
  <c r="M20" i="10"/>
  <c r="I20" i="10"/>
  <c r="N14" i="10"/>
  <c r="M14" i="10"/>
  <c r="I14" i="10"/>
  <c r="G20" i="10"/>
  <c r="N24" i="10"/>
  <c r="M24" i="10"/>
  <c r="I24" i="10"/>
  <c r="M30" i="10"/>
  <c r="N30" i="10"/>
  <c r="I30" i="10"/>
  <c r="G28" i="10"/>
  <c r="G30" i="10"/>
  <c r="N32" i="10"/>
  <c r="M32" i="10"/>
  <c r="T32" i="10" s="1"/>
  <c r="I32" i="10"/>
  <c r="N10" i="10"/>
  <c r="M10" i="10"/>
  <c r="G10" i="10"/>
  <c r="I10" i="10"/>
  <c r="M22" i="10"/>
  <c r="N22" i="10"/>
  <c r="I22" i="10"/>
  <c r="N26" i="10"/>
  <c r="M26" i="10"/>
  <c r="I26" i="10"/>
  <c r="G15" i="10"/>
  <c r="G23" i="10"/>
  <c r="G9" i="10"/>
  <c r="N18" i="10"/>
  <c r="M18" i="10"/>
  <c r="G18" i="10"/>
  <c r="I18" i="10"/>
  <c r="M16" i="10"/>
  <c r="N16" i="10"/>
  <c r="I16" i="10"/>
  <c r="G16" i="10"/>
  <c r="N27" i="10"/>
  <c r="M27" i="10"/>
  <c r="I27" i="10"/>
  <c r="M8" i="10"/>
  <c r="N8" i="10"/>
  <c r="I8" i="10"/>
  <c r="G8" i="10"/>
  <c r="N25" i="10"/>
  <c r="M25" i="10"/>
  <c r="I25" i="10"/>
  <c r="N19" i="10"/>
  <c r="M19" i="10"/>
  <c r="I19" i="10"/>
  <c r="N11" i="10"/>
  <c r="M11" i="10"/>
  <c r="I11" i="10"/>
  <c r="G21" i="10"/>
  <c r="G27" i="10"/>
  <c r="G26" i="10"/>
  <c r="P22" i="10"/>
  <c r="R23" i="6"/>
  <c r="L16" i="6" s="1"/>
  <c r="K17" i="6" s="1"/>
  <c r="R22" i="6"/>
  <c r="L17" i="6" s="1"/>
  <c r="K18" i="6" s="1"/>
  <c r="R29" i="6"/>
  <c r="L10" i="6" s="1"/>
  <c r="K11" i="6" s="1"/>
  <c r="R24" i="6"/>
  <c r="L15" i="6" s="1"/>
  <c r="K16" i="6" s="1"/>
  <c r="R25" i="6"/>
  <c r="L14" i="6" s="1"/>
  <c r="K15" i="6" s="1"/>
  <c r="R26" i="6"/>
  <c r="L13" i="6" s="1"/>
  <c r="K14" i="6" s="1"/>
  <c r="R27" i="6"/>
  <c r="L12" i="6" s="1"/>
  <c r="K13" i="6" s="1"/>
  <c r="R28" i="6"/>
  <c r="L11" i="6" s="1"/>
  <c r="K12" i="6" s="1"/>
  <c r="R30" i="6"/>
  <c r="L9" i="6" s="1"/>
  <c r="K10" i="6" s="1"/>
  <c r="M7" i="9"/>
  <c r="T13" i="10" l="1"/>
  <c r="S24" i="10"/>
  <c r="S26" i="10"/>
  <c r="S18" i="10"/>
  <c r="S13" i="10"/>
  <c r="S20" i="10"/>
  <c r="T25" i="10"/>
  <c r="T19" i="10"/>
  <c r="T26" i="10"/>
  <c r="T29" i="10"/>
  <c r="T17" i="10"/>
  <c r="T12" i="10"/>
  <c r="T24" i="10"/>
  <c r="T8" i="10"/>
  <c r="T14" i="10"/>
  <c r="A15" i="15"/>
  <c r="T10" i="10"/>
  <c r="T30" i="10"/>
  <c r="T15" i="10"/>
  <c r="T27" i="10"/>
  <c r="T18" i="10"/>
  <c r="T23" i="10"/>
  <c r="G21" i="15"/>
  <c r="N18" i="15" s="1"/>
  <c r="T28" i="15"/>
  <c r="T11" i="10"/>
  <c r="T22" i="10"/>
  <c r="T21" i="10"/>
  <c r="T9" i="10"/>
  <c r="T26" i="15"/>
  <c r="S12" i="15"/>
  <c r="A23" i="15"/>
  <c r="AG23" i="15"/>
  <c r="T20" i="10"/>
  <c r="T31" i="10"/>
  <c r="T16" i="10"/>
  <c r="T28" i="10"/>
  <c r="D8" i="10"/>
  <c r="P8" i="10" s="1"/>
  <c r="P23" i="10"/>
  <c r="D21" i="10"/>
  <c r="P21" i="10" s="1"/>
  <c r="D20" i="10"/>
  <c r="P20" i="10" s="1"/>
  <c r="D25" i="10"/>
  <c r="P25" i="10" s="1"/>
  <c r="P16" i="10"/>
  <c r="P26" i="10"/>
  <c r="P31" i="10"/>
  <c r="P12" i="10"/>
  <c r="D28" i="10"/>
  <c r="P28" i="10" s="1"/>
  <c r="P30" i="10"/>
  <c r="P11" i="10"/>
  <c r="P10" i="10"/>
  <c r="D9" i="10"/>
  <c r="P9" i="10" s="1"/>
  <c r="P17" i="10"/>
  <c r="D24" i="10"/>
  <c r="P24" i="10" s="1"/>
  <c r="S8" i="10"/>
  <c r="P19" i="10"/>
  <c r="S25" i="10"/>
  <c r="AG22" i="15"/>
  <c r="AG11" i="15"/>
  <c r="AF11" i="15"/>
  <c r="F27" i="15"/>
  <c r="M10" i="15" s="1"/>
  <c r="F8" i="15"/>
  <c r="M11" i="15" s="1"/>
  <c r="F28" i="15"/>
  <c r="F25" i="15"/>
  <c r="M8" i="15" s="1"/>
  <c r="F20" i="15"/>
  <c r="M19" i="15" s="1"/>
  <c r="G11" i="15"/>
  <c r="N5" i="15" s="1"/>
  <c r="F24" i="15"/>
  <c r="M21" i="15" s="1"/>
  <c r="G18" i="15"/>
  <c r="N14" i="15" s="1"/>
  <c r="G27" i="15"/>
  <c r="N10" i="15" s="1"/>
  <c r="G23" i="15"/>
  <c r="N20" i="15" s="1"/>
  <c r="F18" i="15"/>
  <c r="M14" i="15" s="1"/>
  <c r="A10" i="15"/>
  <c r="A27" i="15"/>
  <c r="B25" i="15"/>
  <c r="B15" i="15"/>
  <c r="B11" i="15"/>
  <c r="B27" i="15"/>
  <c r="A25" i="15"/>
  <c r="S16" i="15"/>
  <c r="T23" i="15"/>
  <c r="T9" i="15"/>
  <c r="R13" i="10"/>
  <c r="AF16" i="15"/>
  <c r="AM20" i="15" s="1"/>
  <c r="AF27" i="15"/>
  <c r="AG17" i="15"/>
  <c r="AF20" i="15"/>
  <c r="AF12" i="15"/>
  <c r="AF14" i="15"/>
  <c r="AF26" i="15"/>
  <c r="AG26" i="15"/>
  <c r="AG16" i="15"/>
  <c r="AN20" i="15" s="1"/>
  <c r="AF17" i="15"/>
  <c r="AF23" i="15"/>
  <c r="AG25" i="15"/>
  <c r="AN15" i="15" s="1"/>
  <c r="AG10" i="15"/>
  <c r="AN7" i="15" s="1"/>
  <c r="AG20" i="15"/>
  <c r="AF10" i="15"/>
  <c r="AF25" i="15"/>
  <c r="AG14" i="15"/>
  <c r="AG27" i="15"/>
  <c r="AG5" i="15"/>
  <c r="G17" i="15"/>
  <c r="F23" i="15"/>
  <c r="M20" i="15" s="1"/>
  <c r="F21" i="15"/>
  <c r="M18" i="15" s="1"/>
  <c r="G7" i="15"/>
  <c r="N7" i="15" s="1"/>
  <c r="G6" i="15"/>
  <c r="P4" i="15" s="1"/>
  <c r="Q4" i="15" s="1"/>
  <c r="F17" i="15"/>
  <c r="M16" i="15" s="1"/>
  <c r="G22" i="15"/>
  <c r="F7" i="15"/>
  <c r="M7" i="15" s="1"/>
  <c r="F6" i="15"/>
  <c r="G14" i="15"/>
  <c r="F26" i="15"/>
  <c r="M6" i="15" s="1"/>
  <c r="G8" i="15"/>
  <c r="N11" i="15" s="1"/>
  <c r="F12" i="15"/>
  <c r="M9" i="15" s="1"/>
  <c r="F14" i="15"/>
  <c r="F9" i="15"/>
  <c r="G24" i="15"/>
  <c r="N21" i="15" s="1"/>
  <c r="F22" i="15"/>
  <c r="G26" i="15"/>
  <c r="N6" i="15" s="1"/>
  <c r="A14" i="15"/>
  <c r="A7" i="15"/>
  <c r="B28" i="15"/>
  <c r="A12" i="15"/>
  <c r="A28" i="15"/>
  <c r="A9" i="15"/>
  <c r="A8" i="15"/>
  <c r="B10" i="15"/>
  <c r="B8" i="15"/>
  <c r="B14" i="15"/>
  <c r="A11" i="15"/>
  <c r="B23" i="15"/>
  <c r="B12" i="15"/>
  <c r="A16" i="15"/>
  <c r="T8" i="15"/>
  <c r="AA6" i="15" s="1"/>
  <c r="S8" i="15"/>
  <c r="S26" i="15"/>
  <c r="T16" i="15"/>
  <c r="T15" i="15"/>
  <c r="T12" i="15"/>
  <c r="S23" i="15"/>
  <c r="S21" i="15"/>
  <c r="S28" i="15"/>
  <c r="Z18" i="15" s="1"/>
  <c r="S14" i="15"/>
  <c r="S13" i="15"/>
  <c r="T18" i="15"/>
  <c r="S19" i="15"/>
  <c r="R12" i="10"/>
  <c r="S11" i="10"/>
  <c r="S14" i="10"/>
  <c r="S10" i="10"/>
  <c r="S16" i="10"/>
  <c r="S28" i="10"/>
  <c r="S21" i="10"/>
  <c r="S29" i="10"/>
  <c r="S27" i="10"/>
  <c r="S19" i="10"/>
  <c r="S15" i="10"/>
  <c r="S17" i="10"/>
  <c r="S30" i="10"/>
  <c r="S31" i="10"/>
  <c r="S23" i="10"/>
  <c r="S32" i="10"/>
  <c r="S9" i="10"/>
  <c r="S12" i="10"/>
  <c r="B18" i="15"/>
  <c r="C15" i="10"/>
  <c r="O15" i="10" s="1"/>
  <c r="C18" i="10"/>
  <c r="O18" i="10" s="1"/>
  <c r="C25" i="10"/>
  <c r="O25" i="10" s="1"/>
  <c r="S7" i="15"/>
  <c r="A24" i="15"/>
  <c r="T22" i="15"/>
  <c r="F44" i="2"/>
  <c r="AG18" i="15"/>
  <c r="AF15" i="15"/>
  <c r="AM8" i="15" s="1"/>
  <c r="F37" i="2"/>
  <c r="B13" i="15"/>
  <c r="B4" i="15"/>
  <c r="B22" i="15"/>
  <c r="F30" i="2"/>
  <c r="F27" i="2"/>
  <c r="O22" i="6"/>
  <c r="F14" i="10" s="1"/>
  <c r="AG9" i="15"/>
  <c r="AN10" i="15" s="1"/>
  <c r="AF13" i="15"/>
  <c r="AF7" i="15"/>
  <c r="F25" i="2"/>
  <c r="P13" i="10"/>
  <c r="F28" i="2"/>
  <c r="AG4" i="15"/>
  <c r="AF19" i="15"/>
  <c r="AM19" i="15" s="1"/>
  <c r="F20" i="2"/>
  <c r="AF6" i="15"/>
  <c r="AM11" i="15" s="1"/>
  <c r="AF24" i="15"/>
  <c r="AM21" i="15" s="1"/>
  <c r="AF21" i="15"/>
  <c r="AM17" i="15" s="1"/>
  <c r="AG15" i="15"/>
  <c r="AN8" i="15" s="1"/>
  <c r="F22" i="2"/>
  <c r="A17" i="15"/>
  <c r="T7" i="15"/>
  <c r="S15" i="15"/>
  <c r="Z14" i="15" s="1"/>
  <c r="B17" i="15"/>
  <c r="A20" i="15"/>
  <c r="B19" i="15"/>
  <c r="B20" i="15"/>
  <c r="AF4" i="15"/>
  <c r="AF28" i="15"/>
  <c r="AF5" i="15"/>
  <c r="AG28" i="15"/>
  <c r="AG19" i="15"/>
  <c r="AG21" i="15"/>
  <c r="AN17" i="15" s="1"/>
  <c r="AF18" i="15"/>
  <c r="AG13" i="15"/>
  <c r="AG8" i="15"/>
  <c r="AF8" i="15"/>
  <c r="AG6" i="15"/>
  <c r="AN11" i="15" s="1"/>
  <c r="AP11" i="15" s="1"/>
  <c r="AQ11" i="15" s="1"/>
  <c r="AG24" i="15"/>
  <c r="AG7" i="15"/>
  <c r="AF9" i="15"/>
  <c r="S5" i="15"/>
  <c r="S27" i="15"/>
  <c r="T25" i="15"/>
  <c r="AA8" i="15" s="1"/>
  <c r="S17" i="15"/>
  <c r="Z16" i="15" s="1"/>
  <c r="S24" i="15"/>
  <c r="T13" i="15"/>
  <c r="A4" i="15"/>
  <c r="B24" i="15"/>
  <c r="A22" i="15"/>
  <c r="B21" i="15"/>
  <c r="A18" i="15"/>
  <c r="B6" i="15"/>
  <c r="A6" i="15"/>
  <c r="A19" i="15"/>
  <c r="A13" i="15"/>
  <c r="A21" i="15"/>
  <c r="B16" i="15"/>
  <c r="T19" i="15"/>
  <c r="S22" i="15"/>
  <c r="S4" i="15"/>
  <c r="T4" i="15"/>
  <c r="T24" i="15"/>
  <c r="T27" i="15"/>
  <c r="S25" i="15"/>
  <c r="Z8" i="15" s="1"/>
  <c r="T17" i="15"/>
  <c r="T21" i="15"/>
  <c r="T5" i="15"/>
  <c r="T6" i="15"/>
  <c r="AA11" i="15" s="1"/>
  <c r="S6" i="15"/>
  <c r="Z11" i="15" s="1"/>
  <c r="O26" i="6"/>
  <c r="F10" i="10" s="1"/>
  <c r="O45" i="6"/>
  <c r="F32" i="10" s="1"/>
  <c r="O25" i="6"/>
  <c r="F9" i="10" s="1"/>
  <c r="O24" i="6"/>
  <c r="F8" i="10" s="1"/>
  <c r="O23" i="6"/>
  <c r="F12" i="10" s="1"/>
  <c r="Q12" i="10" s="1"/>
  <c r="O21" i="6"/>
  <c r="F16" i="10" s="1"/>
  <c r="O30" i="6"/>
  <c r="F17" i="10" s="1"/>
  <c r="O44" i="6"/>
  <c r="F31" i="10" s="1"/>
  <c r="O43" i="6"/>
  <c r="F30" i="10" s="1"/>
  <c r="O35" i="6"/>
  <c r="F22" i="10" s="1"/>
  <c r="O37" i="6"/>
  <c r="F24" i="10" s="1"/>
  <c r="O27" i="6"/>
  <c r="F11" i="10" s="1"/>
  <c r="O40" i="6"/>
  <c r="F27" i="10" s="1"/>
  <c r="O42" i="6"/>
  <c r="F29" i="10" s="1"/>
  <c r="O33" i="6"/>
  <c r="F20" i="10" s="1"/>
  <c r="O38" i="6"/>
  <c r="F25" i="10" s="1"/>
  <c r="O31" i="6"/>
  <c r="F18" i="10" s="1"/>
  <c r="O34" i="6"/>
  <c r="F21" i="10" s="1"/>
  <c r="O29" i="6"/>
  <c r="F15" i="10" s="1"/>
  <c r="O32" i="6"/>
  <c r="F19" i="10" s="1"/>
  <c r="O39" i="6"/>
  <c r="F26" i="10" s="1"/>
  <c r="O28" i="6"/>
  <c r="F13" i="10" s="1"/>
  <c r="O36" i="6"/>
  <c r="F23" i="10" s="1"/>
  <c r="O41" i="6"/>
  <c r="F28" i="10" s="1"/>
  <c r="F40" i="2"/>
  <c r="F41" i="2"/>
  <c r="F23" i="2"/>
  <c r="F24" i="2"/>
  <c r="F36" i="2"/>
  <c r="F32" i="2"/>
  <c r="F42" i="2"/>
  <c r="F34" i="2"/>
  <c r="F35" i="2"/>
  <c r="R24" i="10"/>
  <c r="F38" i="2"/>
  <c r="F26" i="2"/>
  <c r="F31" i="2"/>
  <c r="F43" i="2"/>
  <c r="F39" i="2"/>
  <c r="F21" i="2"/>
  <c r="F29" i="2"/>
  <c r="F33" i="2"/>
  <c r="C18" i="6"/>
  <c r="AA9" i="15" l="1"/>
  <c r="P9" i="15"/>
  <c r="Q9" i="15" s="1"/>
  <c r="AA20" i="15"/>
  <c r="Z6" i="15"/>
  <c r="AC6" i="15"/>
  <c r="AD6" i="15" s="1"/>
  <c r="P11" i="15"/>
  <c r="Q11" i="15" s="1"/>
  <c r="AC4" i="15"/>
  <c r="AD4" i="15" s="1"/>
  <c r="P7" i="15"/>
  <c r="Q7" i="15" s="1"/>
  <c r="AC5" i="15"/>
  <c r="AD5" i="15" s="1"/>
  <c r="AP20" i="15"/>
  <c r="AQ20" i="15" s="1"/>
  <c r="AP7" i="15"/>
  <c r="AQ7" i="15" s="1"/>
  <c r="Z20" i="15"/>
  <c r="AP8" i="15"/>
  <c r="AQ8" i="15" s="1"/>
  <c r="AM15" i="15"/>
  <c r="P5" i="15"/>
  <c r="Q5" i="15" s="1"/>
  <c r="AC11" i="15"/>
  <c r="AD11" i="15" s="1"/>
  <c r="AP10" i="15"/>
  <c r="AQ10" i="15" s="1"/>
  <c r="AP15" i="15"/>
  <c r="AQ15" i="15" s="1"/>
  <c r="P20" i="15"/>
  <c r="Q20" i="15" s="1"/>
  <c r="P6" i="15"/>
  <c r="Q6" i="15" s="1"/>
  <c r="P19" i="15"/>
  <c r="Q19" i="15" s="1"/>
  <c r="P18" i="15"/>
  <c r="Q18" i="15" s="1"/>
  <c r="P8" i="15"/>
  <c r="Q8" i="15" s="1"/>
  <c r="P10" i="15"/>
  <c r="Q10" i="15" s="1"/>
  <c r="P14" i="15"/>
  <c r="Q14" i="15" s="1"/>
  <c r="P21" i="15"/>
  <c r="Q21" i="15" s="1"/>
  <c r="N16" i="15"/>
  <c r="P16" i="15" s="1"/>
  <c r="Q16" i="15" s="1"/>
  <c r="AP17" i="15"/>
  <c r="AQ17" i="15" s="1"/>
  <c r="AC19" i="15"/>
  <c r="AD19" i="15" s="1"/>
  <c r="AC8" i="15"/>
  <c r="AC9" i="15"/>
  <c r="AD9" i="15" s="1"/>
  <c r="AC20" i="15"/>
  <c r="AD20" i="15" s="1"/>
  <c r="AM14" i="15"/>
  <c r="AN9" i="15"/>
  <c r="AP9" i="15" s="1"/>
  <c r="AQ9" i="15" s="1"/>
  <c r="AM6" i="15"/>
  <c r="AA15" i="15"/>
  <c r="AC15" i="15" s="1"/>
  <c r="AD15" i="15" s="1"/>
  <c r="AM4" i="15"/>
  <c r="Z15" i="15"/>
  <c r="AN18" i="15"/>
  <c r="AP18" i="15" s="1"/>
  <c r="AQ18" i="15" s="1"/>
  <c r="AN4" i="15"/>
  <c r="AP4" i="15" s="1"/>
  <c r="AQ4" i="15" s="1"/>
  <c r="AN5" i="15"/>
  <c r="AP5" i="15" s="1"/>
  <c r="AQ5" i="15" s="1"/>
  <c r="AN21" i="15"/>
  <c r="AP21" i="15" s="1"/>
  <c r="AQ21" i="15" s="1"/>
  <c r="AM5" i="15"/>
  <c r="AM18" i="15"/>
  <c r="AN16" i="15"/>
  <c r="AP16" i="15" s="1"/>
  <c r="AQ16" i="15" s="1"/>
  <c r="AN19" i="15"/>
  <c r="AP19" i="15" s="1"/>
  <c r="AQ19" i="15" s="1"/>
  <c r="AM10" i="15"/>
  <c r="AM7" i="15"/>
  <c r="AM16" i="15"/>
  <c r="AN6" i="15"/>
  <c r="AP6" i="15" s="1"/>
  <c r="AQ6" i="15" s="1"/>
  <c r="AM9" i="15"/>
  <c r="AN14" i="15"/>
  <c r="AP14" i="15" s="1"/>
  <c r="AQ14" i="15" s="1"/>
  <c r="AA21" i="15"/>
  <c r="AC21" i="15" s="1"/>
  <c r="AD21" i="15" s="1"/>
  <c r="AA16" i="15"/>
  <c r="AC16" i="15" s="1"/>
  <c r="AD16" i="15" s="1"/>
  <c r="Z21" i="15"/>
  <c r="AA18" i="15"/>
  <c r="AC18" i="15" s="1"/>
  <c r="AD18" i="15" s="1"/>
  <c r="Z17" i="15"/>
  <c r="AA17" i="15"/>
  <c r="AC17" i="15" s="1"/>
  <c r="AD17" i="15" s="1"/>
  <c r="AA14" i="15"/>
  <c r="AC14" i="15" s="1"/>
  <c r="AD14" i="15" s="1"/>
  <c r="Z9" i="15"/>
  <c r="U12" i="10"/>
  <c r="Z10" i="15"/>
  <c r="AA7" i="15"/>
  <c r="AC7" i="15" s="1"/>
  <c r="AD7" i="15" s="1"/>
  <c r="AA10" i="15"/>
  <c r="AC10" i="15" s="1"/>
  <c r="AD10" i="15" s="1"/>
  <c r="Z7" i="15"/>
  <c r="R16" i="10"/>
  <c r="R26" i="10"/>
  <c r="R14" i="10"/>
  <c r="R20" i="10"/>
  <c r="R25" i="10"/>
  <c r="R23" i="10"/>
  <c r="R8" i="10"/>
  <c r="R15" i="10"/>
  <c r="R22" i="10"/>
  <c r="R9" i="10"/>
  <c r="R30" i="10"/>
  <c r="R17" i="10"/>
  <c r="R29" i="10"/>
  <c r="R27" i="10"/>
  <c r="R11" i="10"/>
  <c r="R32" i="10"/>
  <c r="R18" i="10"/>
  <c r="R19" i="10"/>
  <c r="R28" i="10"/>
  <c r="R10" i="10"/>
  <c r="R21" i="10"/>
  <c r="R31" i="10"/>
  <c r="Q16" i="10" l="1"/>
  <c r="U16" i="10" s="1"/>
  <c r="Q10" i="10"/>
  <c r="U10" i="10" s="1"/>
  <c r="Q8" i="10"/>
  <c r="U8" i="10" s="1"/>
  <c r="Q20" i="10"/>
  <c r="U20" i="10" s="1"/>
  <c r="Q18" i="10"/>
  <c r="U18" i="10" s="1"/>
  <c r="Q15" i="10"/>
  <c r="U15" i="10" s="1"/>
  <c r="Q14" i="10"/>
  <c r="U14" i="10" s="1"/>
  <c r="Q28" i="10"/>
  <c r="U28" i="10" s="1"/>
  <c r="F31" i="6"/>
  <c r="F28" i="6"/>
  <c r="F37" i="6"/>
  <c r="F38" i="6"/>
  <c r="Q29" i="10"/>
  <c r="U29" i="10" s="1"/>
  <c r="F42" i="6"/>
  <c r="Q27" i="10"/>
  <c r="U27" i="10" s="1"/>
  <c r="Q32" i="10"/>
  <c r="U32" i="10" s="1"/>
  <c r="Q31" i="10"/>
  <c r="U31" i="10" s="1"/>
  <c r="F39" i="6"/>
  <c r="F29" i="6"/>
  <c r="F41" i="6"/>
  <c r="F34" i="6"/>
  <c r="Q30" i="10"/>
  <c r="U30" i="10" s="1"/>
  <c r="F35" i="6"/>
  <c r="F40" i="6"/>
  <c r="E22" i="10" l="1"/>
  <c r="Q22" i="10" s="1"/>
  <c r="U22" i="10" s="1"/>
  <c r="E25" i="10"/>
  <c r="Q25" i="10" s="1"/>
  <c r="U25" i="10" s="1"/>
  <c r="E26" i="10"/>
  <c r="Q26" i="10" s="1"/>
  <c r="U26" i="10" s="1"/>
  <c r="E17" i="10"/>
  <c r="Q17" i="10" s="1"/>
  <c r="U17" i="10" s="1"/>
  <c r="E19" i="10"/>
  <c r="Q19" i="10" s="1"/>
  <c r="U19" i="10" s="1"/>
  <c r="E21" i="10"/>
  <c r="Q21" i="10" s="1"/>
  <c r="U21" i="10" s="1"/>
  <c r="E9" i="10"/>
  <c r="Q9" i="10" s="1"/>
  <c r="U9" i="10" s="1"/>
  <c r="E24" i="10"/>
  <c r="Q24" i="10" s="1"/>
  <c r="U24" i="10" s="1"/>
  <c r="E23" i="10"/>
  <c r="Q23" i="10" s="1"/>
  <c r="U23" i="10" s="1"/>
  <c r="E13" i="10"/>
  <c r="Q13" i="10" s="1"/>
  <c r="E11" i="10"/>
  <c r="Q11" i="10" s="1"/>
  <c r="U11" i="10" s="1"/>
  <c r="C19" i="16"/>
  <c r="C26" i="16"/>
  <c r="C5" i="16"/>
  <c r="C25" i="11"/>
  <c r="C15" i="11"/>
  <c r="U13" i="10" l="1"/>
  <c r="C19" i="11" s="1"/>
  <c r="C8" i="16"/>
  <c r="C22" i="11"/>
  <c r="C27" i="16"/>
  <c r="C5" i="11"/>
  <c r="U11" i="15" s="1"/>
  <c r="C10" i="16"/>
  <c r="C11" i="11"/>
  <c r="C20" i="16"/>
  <c r="C26" i="11"/>
  <c r="C13" i="16"/>
  <c r="C28" i="11"/>
  <c r="C25" i="16"/>
  <c r="C4" i="11"/>
  <c r="U10" i="15" s="1"/>
  <c r="C21" i="11"/>
  <c r="C17" i="16"/>
  <c r="C12" i="11"/>
  <c r="C11" i="16"/>
  <c r="C23" i="11"/>
  <c r="C28" i="16"/>
  <c r="C7" i="11"/>
  <c r="C4" i="16"/>
  <c r="AH10" i="15" s="1"/>
  <c r="C16" i="16"/>
  <c r="C13" i="11"/>
  <c r="C12" i="16"/>
  <c r="C16" i="11"/>
  <c r="C14" i="16"/>
  <c r="C6" i="11"/>
  <c r="C7" i="16"/>
  <c r="C8" i="11"/>
  <c r="C9" i="16"/>
  <c r="AH11" i="15" s="1"/>
  <c r="C24" i="11"/>
  <c r="C22" i="16"/>
  <c r="C27" i="11"/>
  <c r="C23" i="16"/>
  <c r="C18" i="11"/>
  <c r="C18" i="16"/>
  <c r="AH16" i="15" s="1"/>
  <c r="C6" i="16"/>
  <c r="C20" i="11"/>
  <c r="U20" i="15" s="1"/>
  <c r="C21" i="16"/>
  <c r="C17" i="11"/>
  <c r="C15" i="16"/>
  <c r="C10" i="11"/>
  <c r="C24" i="16"/>
  <c r="C9" i="11"/>
  <c r="U9" i="15" l="1"/>
  <c r="AH20" i="15"/>
  <c r="AH25" i="15"/>
  <c r="U13" i="15"/>
  <c r="U8" i="15"/>
  <c r="U14" i="15"/>
  <c r="U28" i="15"/>
  <c r="AH15" i="15"/>
  <c r="AH27" i="15"/>
  <c r="AH26" i="15"/>
  <c r="AH14" i="15"/>
  <c r="AH23" i="15"/>
  <c r="AH12" i="15"/>
  <c r="AH17" i="15"/>
  <c r="AH22" i="15"/>
  <c r="U7" i="15"/>
  <c r="U26" i="15"/>
  <c r="U23" i="15"/>
  <c r="U18" i="15"/>
  <c r="AH18" i="15"/>
  <c r="AH5" i="15"/>
  <c r="AH21" i="15"/>
  <c r="AH4" i="15"/>
  <c r="AH28" i="15"/>
  <c r="AH19" i="15"/>
  <c r="AH9" i="15"/>
  <c r="AH24" i="15"/>
  <c r="AH6" i="15"/>
  <c r="AH13" i="15"/>
  <c r="AH8" i="15"/>
  <c r="AH7" i="15"/>
  <c r="U4" i="15"/>
  <c r="U25" i="15"/>
  <c r="U12" i="15"/>
  <c r="U5" i="15"/>
  <c r="U17" i="15"/>
  <c r="V23" i="10"/>
  <c r="X23" i="10" s="1"/>
  <c r="U22" i="15"/>
  <c r="U6" i="15"/>
  <c r="U27" i="15"/>
  <c r="U24" i="15"/>
  <c r="U15" i="15"/>
  <c r="U21" i="15"/>
  <c r="V24" i="10"/>
  <c r="X24" i="10" s="1"/>
  <c r="C14" i="11"/>
  <c r="U16" i="15" s="1"/>
  <c r="V27" i="10"/>
  <c r="X27" i="10" s="1"/>
  <c r="V22" i="10"/>
  <c r="X22" i="10" s="1"/>
  <c r="V16" i="10"/>
  <c r="X16" i="10" s="1"/>
  <c r="V19" i="10"/>
  <c r="X19" i="10" s="1"/>
  <c r="V13" i="10"/>
  <c r="X13" i="10" s="1"/>
  <c r="V10" i="10"/>
  <c r="X10" i="10" s="1"/>
  <c r="V18" i="10"/>
  <c r="X18" i="10" s="1"/>
  <c r="V9" i="10"/>
  <c r="X9" i="10" s="1"/>
  <c r="V21" i="10"/>
  <c r="X21" i="10" s="1"/>
  <c r="V29" i="10"/>
  <c r="X29" i="10" s="1"/>
  <c r="V31" i="10"/>
  <c r="X31" i="10" s="1"/>
  <c r="V8" i="10"/>
  <c r="X8" i="10" s="1"/>
  <c r="V26" i="10"/>
  <c r="X26" i="10" s="1"/>
  <c r="V32" i="10"/>
  <c r="X32" i="10" s="1"/>
  <c r="V17" i="10"/>
  <c r="X17" i="10" s="1"/>
  <c r="V14" i="10"/>
  <c r="X14" i="10" s="1"/>
  <c r="V12" i="10"/>
  <c r="X12" i="10" s="1"/>
  <c r="V15" i="10"/>
  <c r="X15" i="10" s="1"/>
  <c r="V11" i="10"/>
  <c r="X11" i="10" s="1"/>
  <c r="V28" i="10"/>
  <c r="X28" i="10" s="1"/>
  <c r="V25" i="10"/>
  <c r="X25" i="10" s="1"/>
  <c r="V30" i="10"/>
  <c r="X30" i="10" s="1"/>
  <c r="V20" i="10"/>
  <c r="X20" i="10" s="1"/>
  <c r="U19"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tc={1F549A1E-6727-44D4-A936-5A4C5CF1A6D3}</author>
    <author>tc={40DC2C4B-7768-47EE-88D3-34DCE26F6347}</author>
    <author>tc={1BCC7C05-465A-41AE-A23B-3596561B7009}</author>
  </authors>
  <commentList>
    <comment ref="H24" authorId="0" shapeId="0" xr:uid="{1F549A1E-6727-44D4-A936-5A4C5CF1A6D3}">
      <text>
        <t>[Threaded comment]
Your version of Excel allows you to read this threaded comment; however, any edits to it will get removed if the file is opened in a newer version of Excel. Learn more: https://go.microsoft.com/fwlink/?linkid=870924
Comment:
    From DEQ "Foodwaste GHG estimated by DEQ" spreadsheet</t>
      </text>
    </comment>
    <comment ref="J24" authorId="1" shapeId="0" xr:uid="{40DC2C4B-7768-47EE-88D3-34DCE26F6347}">
      <text>
        <t>[Threaded comment]
Your version of Excel allows you to read this threaded comment; however, any edits to it will get removed if the file is opened in a newer version of Excel. Learn more: https://go.microsoft.com/fwlink/?linkid=870924
Comment:
    From DEQ "Foodwaste GHG estimated by DEQ" spreadsheet</t>
      </text>
    </comment>
    <comment ref="K24" authorId="2" shapeId="0" xr:uid="{1BCC7C05-465A-41AE-A23B-3596561B7009}">
      <text>
        <t>[Threaded comment]
Your version of Excel allows you to read this threaded comment; however, any edits to it will get removed if the file is opened in a newer version of Excel. Learn more: https://go.microsoft.com/fwlink/?linkid=870924
Comment:
    From DEQ "Foodwaste GHG estimated by DEQ" spreadsheet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Julia Sorensen</author>
    <author>AlanZelenka</author>
  </authors>
  <commentList>
    <comment ref="G5" authorId="0" shapeId="0" xr:uid="{D5CB556A-3875-4C88-BB07-7B4751A44DE3}">
      <text>
        <r>
          <rPr>
            <b/>
            <sz val="9"/>
            <color indexed="81"/>
            <rFont val="Tahoma"/>
            <family val="2"/>
          </rPr>
          <t>Julia Sorensen:</t>
        </r>
        <r>
          <rPr>
            <sz val="9"/>
            <color indexed="81"/>
            <rFont val="Tahoma"/>
            <family val="2"/>
          </rPr>
          <t xml:space="preserve">
How do we weight capital cost? All things being equal a lower would be preferred.  A higher capital cost okay if the project is a better deal overall (i.e. - NPV of Annual Net Costs).  </t>
        </r>
      </text>
    </comment>
    <comment ref="G11" authorId="1" shapeId="0" xr:uid="{03E9EE9E-DD35-4EF6-9EB9-D44E268DFC5A}">
      <text>
        <r>
          <rPr>
            <b/>
            <sz val="10"/>
            <color indexed="81"/>
            <rFont val="Tahoma"/>
            <family val="2"/>
          </rPr>
          <t>AlanZelenka:</t>
        </r>
        <r>
          <rPr>
            <sz val="10"/>
            <color indexed="81"/>
            <rFont val="Tahoma"/>
            <family val="2"/>
          </rPr>
          <t xml:space="preserve">
Blank means there is no energy component to the project and thus it does not have an Energy LifeCycle Cost.</t>
        </r>
      </text>
    </comment>
    <comment ref="E13" authorId="1" shapeId="0" xr:uid="{0B884988-2017-4500-801C-E8B5E2B49C52}">
      <text>
        <r>
          <rPr>
            <b/>
            <sz val="10"/>
            <color indexed="81"/>
            <rFont val="Tahoma"/>
            <family val="2"/>
          </rPr>
          <t>AlanZelenka:</t>
        </r>
        <r>
          <rPr>
            <sz val="10"/>
            <color indexed="81"/>
            <rFont val="Tahoma"/>
            <family val="2"/>
          </rPr>
          <t xml:space="preserve">
Added increment to account for higher NPV than 14a to force a higher ranking.</t>
        </r>
      </text>
    </comment>
    <comment ref="E18" authorId="1" shapeId="0" xr:uid="{37F92675-E34C-4A52-9F74-CB891B225857}">
      <text>
        <r>
          <rPr>
            <b/>
            <sz val="10"/>
            <color indexed="81"/>
            <rFont val="Tahoma"/>
            <family val="2"/>
          </rPr>
          <t>AlanZelenka:</t>
        </r>
        <r>
          <rPr>
            <sz val="10"/>
            <color indexed="81"/>
            <rFont val="Tahoma"/>
            <family val="2"/>
          </rPr>
          <t xml:space="preserve">
Includes the capital cost of alternative fuel vehicles ($1.5M).
Does not include the capital cost of a CNG fueling station ($2.3M).</t>
        </r>
      </text>
    </comment>
    <comment ref="F18" authorId="1" shapeId="0" xr:uid="{BEA62E18-D488-476C-916C-F27261DBF484}">
      <text>
        <r>
          <rPr>
            <b/>
            <sz val="10"/>
            <color indexed="81"/>
            <rFont val="Tahoma"/>
            <family val="2"/>
          </rPr>
          <t>AlanZelenka:</t>
        </r>
        <r>
          <rPr>
            <sz val="10"/>
            <color indexed="81"/>
            <rFont val="Tahoma"/>
            <family val="2"/>
          </rPr>
          <t xml:space="preserve">
Includes the capital cost of alternative fuel vehicles ($1.5M).
Does not include the capital cost of a CNG fueling station ($2.3M).</t>
        </r>
      </text>
    </comment>
  </commentList>
</comments>
</file>

<file path=xl/sharedStrings.xml><?xml version="1.0" encoding="utf-8"?>
<sst xmlns="http://schemas.openxmlformats.org/spreadsheetml/2006/main" count="892" uniqueCount="316">
  <si>
    <t>Cost-Effectiveness</t>
  </si>
  <si>
    <t>GHG Emission Reduction Amount</t>
  </si>
  <si>
    <t>Health Co-Benefit</t>
  </si>
  <si>
    <t>Jobs and Economic Prosperity Co-Benefit</t>
  </si>
  <si>
    <t>Equity Co-Benefit</t>
  </si>
  <si>
    <t>Criteria</t>
  </si>
  <si>
    <t>Definition</t>
  </si>
  <si>
    <t>Data Source</t>
  </si>
  <si>
    <t>Weighting</t>
  </si>
  <si>
    <t>The lower the $/MTCO2, the higher the score</t>
  </si>
  <si>
    <t>The higher the cumulative MTCO2 reduced, the higher the score</t>
  </si>
  <si>
    <t>Points</t>
  </si>
  <si>
    <t>Reduction in business or household expenditures</t>
  </si>
  <si>
    <t>Other</t>
  </si>
  <si>
    <t>Co-Benefits</t>
  </si>
  <si>
    <t>Potential to improve public health</t>
  </si>
  <si>
    <t>How Scored?</t>
  </si>
  <si>
    <t xml:space="preserve">SSG TIGHGER Data: Cumulative person job years
</t>
  </si>
  <si>
    <t>SSG TIGHGER Data: cumulative MTCO2 reduced</t>
  </si>
  <si>
    <t>MAC Curve Analysis</t>
  </si>
  <si>
    <t xml:space="preserve">SSG TIGHGER Data: $/MTCO2 </t>
  </si>
  <si>
    <t>Technical Feasibility A</t>
  </si>
  <si>
    <t>Technical Feasibility B</t>
  </si>
  <si>
    <t>Political Feasibility A</t>
  </si>
  <si>
    <t>Political Feasibility B</t>
  </si>
  <si>
    <t>Implementation Timing</t>
  </si>
  <si>
    <t xml:space="preserve">Points </t>
  </si>
  <si>
    <t>High</t>
  </si>
  <si>
    <t>Low</t>
  </si>
  <si>
    <t>long-term</t>
  </si>
  <si>
    <t>mid-term</t>
  </si>
  <si>
    <t>near-term</t>
  </si>
  <si>
    <t xml:space="preserve">SSG TIGHGER Data: Household or business building energy and transportation costs.
</t>
  </si>
  <si>
    <t xml:space="preserve">Relative amount of GHG emissions reduced </t>
  </si>
  <si>
    <t xml:space="preserve">Relative net cost/benefit of emissions reductions, “bang for your buck” </t>
  </si>
  <si>
    <t>Relative level at which the action can serve environmental justice communities. Environmental justice communities include communities of color, communities experiencing lower incomes, communities experiencing health inequities, tribal communities, rural communities, remote communities (low population density and high geographic remoteness), coastal communities, communities with limited infrastructure and other communities traditionally underrepresented in public processes and adversely harmed by environmental and health hazards, including seniors, youth and persons with disabilities.</t>
  </si>
  <si>
    <t xml:space="preserve">
SSG TIGHGER Data: EPA-COBRA data
See "Reduction of other health risk factors/burdens" in the health co-benefit. 
SSG TIGHGER Data: Energy burden reduction
</t>
  </si>
  <si>
    <r>
      <t xml:space="preserve">50% - </t>
    </r>
    <r>
      <rPr>
        <i/>
        <sz val="11"/>
        <rFont val="Calibri"/>
        <family val="2"/>
        <scheme val="minor"/>
      </rPr>
      <t>Avoided health impacts and associated cost savings from reduction in air pollution/co-pollutants</t>
    </r>
    <r>
      <rPr>
        <sz val="11"/>
        <rFont val="Calibri"/>
        <family val="2"/>
        <scheme val="minor"/>
      </rPr>
      <t xml:space="preserve">
Health cost savings specifically from reduced mortality, heart attacks, hospital admissions, emergency room visits, asthma exacerbations, acute bronchitis, respiratory symptoms, restricted activity days, and work loss as a result of reducing air pollution. Reductions in air pollution include pollution from primary fine particulate matter (PM2.5) and precursors of secondary PM2.5, including nitrogen oxides (NOx), sulfur dioxide (SO2), ammonia (NH3), and volatile organic compounds (VOCs). 
The higher the health cost savings, the higher the score.</t>
    </r>
  </si>
  <si>
    <t>Potential to create jobs and reduce costs for households and businesses</t>
  </si>
  <si>
    <t>Risk and Uncertainty</t>
  </si>
  <si>
    <t xml:space="preserve">TIGHGER action descriptions. 
Informed by high value climate and health actions in OHA 2018 Climate and Public Health in Oregon Report and consideration of indoor air quality risks from natural gas stoves. Only one action specifically relates to the latter. 
</t>
  </si>
  <si>
    <t xml:space="preserve">SSG TIGHGER Data: cumulative estimated dollar amount from the EPA-COBRA analysis
</t>
  </si>
  <si>
    <t>Professional discretion 
SSG Modeling assumptions for each action
Professional discretion 
SSG TIGHGER data: Net Cost/Benefit data 
Professional discretion based on action descriptions</t>
  </si>
  <si>
    <t>Type</t>
  </si>
  <si>
    <t>Evaluation Criteria List and Weighting</t>
  </si>
  <si>
    <t>Reduction in Air Pollution</t>
  </si>
  <si>
    <t>Address Health Inequities</t>
  </si>
  <si>
    <t>Alleviate Energy Burden</t>
  </si>
  <si>
    <t>Avoided Health Impacts</t>
  </si>
  <si>
    <t>Reduce Other Health Risks</t>
  </si>
  <si>
    <t>Energy &amp; Transportation Savings</t>
  </si>
  <si>
    <t>Technical Feasibility</t>
  </si>
  <si>
    <t>Political Feasibility</t>
  </si>
  <si>
    <t>Ranking</t>
  </si>
  <si>
    <t>Weighted Evaluation Criteria Scoring</t>
  </si>
  <si>
    <t>Score</t>
  </si>
  <si>
    <t>Rank</t>
  </si>
  <si>
    <t>GHG Reduction</t>
  </si>
  <si>
    <t>Number of Jobs</t>
  </si>
  <si>
    <t>TIGHGER Action Scoring and Ranking</t>
  </si>
  <si>
    <t>Action name</t>
  </si>
  <si>
    <t>#</t>
  </si>
  <si>
    <t>--</t>
  </si>
  <si>
    <t>Electrification</t>
  </si>
  <si>
    <t>Hybrid</t>
  </si>
  <si>
    <t>Reduced Res Floor Area</t>
  </si>
  <si>
    <t>Higher Urban Res Density</t>
  </si>
  <si>
    <t>Res Code Reduction 60% by 2030</t>
  </si>
  <si>
    <t>Com Code Reduction 60% by 2031</t>
  </si>
  <si>
    <t>Wz in Existing Res by 2040</t>
  </si>
  <si>
    <t>Wz in Existing R&amp;C by 2040</t>
  </si>
  <si>
    <t>Wz in Existing Com by 2040</t>
  </si>
  <si>
    <t>Existing Res buildings 100% HP by 2043</t>
  </si>
  <si>
    <t>Existing Res buildings 100% HP by 2045</t>
  </si>
  <si>
    <t>Existing Res buildings 100% HPWH by 2043</t>
  </si>
  <si>
    <t>Existing Res buildings 100% HPWH by 2045</t>
  </si>
  <si>
    <t>Existing Com buildings 100% HP by 2043</t>
  </si>
  <si>
    <t>Existing Com buildings 100% HP by 2045</t>
  </si>
  <si>
    <t>Existing Com buildings 100% HPWH by 2043</t>
  </si>
  <si>
    <t>Existing Com buildings 100% HPWH by 2045</t>
  </si>
  <si>
    <t>Non-Heating Equip Elec in All Res by 2035</t>
  </si>
  <si>
    <t>Non-Heating Equip Elec in All Com by 2035</t>
  </si>
  <si>
    <t>MD/HD Zero Emission Plan</t>
  </si>
  <si>
    <t>MD/HD Zero Emission Plan &amp; 10% FCEV</t>
  </si>
  <si>
    <t>10% Micro-mobility by 2035</t>
  </si>
  <si>
    <t>10% Micro-mobility by 2037</t>
  </si>
  <si>
    <t>Increase Amtrak Ridership</t>
  </si>
  <si>
    <t>Carshare Increases by 2035</t>
  </si>
  <si>
    <t>Carshare Increases by 2037</t>
  </si>
  <si>
    <t>Congestion Pricing</t>
  </si>
  <si>
    <t>Water Systems EE 20% by 2035</t>
  </si>
  <si>
    <t>Water Systems EE 20% by 2037</t>
  </si>
  <si>
    <t>Food Waste Program</t>
  </si>
  <si>
    <t xml:space="preserve">Solar on New Buildings </t>
  </si>
  <si>
    <t>Ind RH2 70% by 2050</t>
  </si>
  <si>
    <t>Rooftop Solar</t>
  </si>
  <si>
    <t>RNG Full Potential by 2050</t>
  </si>
  <si>
    <t>Res 25% Energy Storage</t>
  </si>
  <si>
    <t>RH2 Injection 15% by 2035</t>
  </si>
  <si>
    <t>Backup Battery Storage</t>
  </si>
  <si>
    <t>Home Fuel Cells 5% by 2030</t>
  </si>
  <si>
    <t>Ind Electrification 70% by 2050</t>
  </si>
  <si>
    <t>5% of fuel share from Pyrolysis of biomass by 2035</t>
  </si>
  <si>
    <t>100% Transit Buses EVs by 2035</t>
  </si>
  <si>
    <t>50% offroad EVs by 2035</t>
  </si>
  <si>
    <t>Quantitative</t>
  </si>
  <si>
    <t>Qualitative</t>
  </si>
  <si>
    <t>Points Allocation</t>
  </si>
  <si>
    <t>Sub-criteria Weighting</t>
  </si>
  <si>
    <t>Non-CPP Ind EE 50% by 2050</t>
  </si>
  <si>
    <t>10% Mode Shift MD to LD</t>
  </si>
  <si>
    <t xml:space="preserve">Points = </t>
  </si>
  <si>
    <t>Action</t>
  </si>
  <si>
    <t>Category</t>
  </si>
  <si>
    <t>Description</t>
  </si>
  <si>
    <t>Cumulative Net Cost/Benefit</t>
  </si>
  <si>
    <t>NPV of Net Cost/Benefit</t>
  </si>
  <si>
    <t>Cumulative GHG Emission Reductions</t>
  </si>
  <si>
    <t>Cumulative Capital Cost</t>
  </si>
  <si>
    <t>Cumulative Energy Savings</t>
  </si>
  <si>
    <t>Cumulative O&amp;M Savings</t>
  </si>
  <si>
    <t>Com Code Reduction 60% by 2030</t>
  </si>
  <si>
    <t>100% Elec HP &amp; 50% WH in New Com by 2025</t>
  </si>
  <si>
    <t>100% HP &amp; 50% WH in New Com by 2025</t>
  </si>
  <si>
    <t>100% Elec HP &amp; WH in New Res by 2025</t>
  </si>
  <si>
    <t>100% HP &amp; WH in New Res by 2025</t>
  </si>
  <si>
    <t>Percentage of Energy Burdened Households</t>
  </si>
  <si>
    <t>SCC</t>
  </si>
  <si>
    <t>Cumulative Energy Reductions</t>
  </si>
  <si>
    <t>Min</t>
  </si>
  <si>
    <t>Max</t>
  </si>
  <si>
    <t>Min =</t>
  </si>
  <si>
    <t>Max =</t>
  </si>
  <si>
    <t>Straight Proportional</t>
  </si>
  <si>
    <t>Adjusted Proportional</t>
  </si>
  <si>
    <t>Grouping</t>
  </si>
  <si>
    <t>Final Score</t>
  </si>
  <si>
    <t>MAC $</t>
  </si>
  <si>
    <t>Reduction in Air Pollution (COBRA)</t>
  </si>
  <si>
    <t>Medium-High</t>
  </si>
  <si>
    <t>Medium-Low</t>
  </si>
  <si>
    <t>Level</t>
  </si>
  <si>
    <t xml:space="preserve">TOTAL Points = </t>
  </si>
  <si>
    <t>Points =</t>
  </si>
  <si>
    <t xml:space="preserve">Total Points = </t>
  </si>
  <si>
    <t>Cumulative Number of Job Years</t>
  </si>
  <si>
    <t>Cumulative Energy &amp; Transportation Savings</t>
  </si>
  <si>
    <t>Medium</t>
  </si>
  <si>
    <t>very long-term</t>
  </si>
  <si>
    <t>very near-term</t>
  </si>
  <si>
    <t>Years</t>
  </si>
  <si>
    <t>1-3</t>
  </si>
  <si>
    <t>4-7</t>
  </si>
  <si>
    <t>8-12</t>
  </si>
  <si>
    <t>20-27</t>
  </si>
  <si>
    <t>13-19</t>
  </si>
  <si>
    <t>Final Scoring &amp; Ranking</t>
  </si>
  <si>
    <t>Co-Benefits Analysis</t>
  </si>
  <si>
    <t>Risk &amp; Uncertainty Analysis</t>
  </si>
  <si>
    <t>Difference/ Change</t>
  </si>
  <si>
    <t>Data for Individual TIGHGER Actions</t>
  </si>
  <si>
    <t>Evaluation Criteria Score Ranking</t>
  </si>
  <si>
    <t>Bookends</t>
  </si>
  <si>
    <t>Qualitative Process:</t>
  </si>
  <si>
    <t>Fill-in the rest</t>
  </si>
  <si>
    <t>Define and understand what and how to apply</t>
  </si>
  <si>
    <t>Equity</t>
  </si>
  <si>
    <t>Percentage of Energy Burdened Households Zeros</t>
  </si>
  <si>
    <t>Health</t>
  </si>
  <si>
    <t>Cumulative Number of Job Years Zeros</t>
  </si>
  <si>
    <t>Jobs</t>
  </si>
  <si>
    <t>Cumulative Energy &amp; Transportation Savings (from spreadsheet)</t>
  </si>
  <si>
    <t>To Do List</t>
  </si>
  <si>
    <t>(same as 1)</t>
  </si>
  <si>
    <t>None</t>
  </si>
  <si>
    <t>Active Transpo</t>
  </si>
  <si>
    <t>Increased AQ and comfort</t>
  </si>
  <si>
    <t>Modest Activity</t>
  </si>
  <si>
    <t>Modest Activity (20 min NH)</t>
  </si>
  <si>
    <t>Increased AQ and comfort (lower b/c less time at work)</t>
  </si>
  <si>
    <t>Just smaller</t>
  </si>
  <si>
    <t>Process emissions only</t>
  </si>
  <si>
    <t>shifting for emissions</t>
  </si>
  <si>
    <t>Reduce Other Health Risks (same as health inequities)</t>
  </si>
  <si>
    <t>4-12</t>
  </si>
  <si>
    <t>Most Construction 2026-2035</t>
  </si>
  <si>
    <t>Sort</t>
  </si>
  <si>
    <t>Check for outliers</t>
  </si>
  <si>
    <t>Not Used</t>
  </si>
  <si>
    <t>13-27</t>
  </si>
  <si>
    <t>Period</t>
  </si>
  <si>
    <t>Most done by 2040</t>
  </si>
  <si>
    <t>h-m</t>
  </si>
  <si>
    <t>h-m/h</t>
  </si>
  <si>
    <t>m-l</t>
  </si>
  <si>
    <t>m/h-m/l</t>
  </si>
  <si>
    <t>high</t>
  </si>
  <si>
    <t>M/H</t>
  </si>
  <si>
    <t>Med</t>
  </si>
  <si>
    <t>M/L</t>
  </si>
  <si>
    <t>Net C/B Grouping</t>
  </si>
  <si>
    <t>Chg for Behavior</t>
  </si>
  <si>
    <t>Political Feasibility - Behavioral Change Req</t>
  </si>
  <si>
    <t>Implementation Timing - Lead Time</t>
  </si>
  <si>
    <t>Political Feasibility - Leg Auth &amp; Prgm Budget$</t>
  </si>
  <si>
    <t>Technical Feasibility - Technical Maturity</t>
  </si>
  <si>
    <t>Technical Feasibility -  Max Tech Potential</t>
  </si>
  <si>
    <t>Absolute Diff</t>
  </si>
  <si>
    <t>% of Largest</t>
  </si>
  <si>
    <t>Ratio to Largest</t>
  </si>
  <si>
    <t xml:space="preserve">                                                                                                                                                                                  </t>
  </si>
  <si>
    <t>Approved</t>
  </si>
  <si>
    <t>Ranking Comparison</t>
  </si>
  <si>
    <t>GHG Reduction Ranking</t>
  </si>
  <si>
    <t>Up</t>
  </si>
  <si>
    <t>Down</t>
  </si>
  <si>
    <t>Cost-Effectiveness Ranking</t>
  </si>
  <si>
    <t>Change from C/E</t>
  </si>
  <si>
    <t>Magnitude of Change =</t>
  </si>
  <si>
    <t>Neutral</t>
  </si>
  <si>
    <t>Big Changes Up</t>
  </si>
  <si>
    <t>Big Changes Down</t>
  </si>
  <si>
    <t>Change From C/E</t>
  </si>
  <si>
    <t>Eval Score Rank</t>
  </si>
  <si>
    <t>C/E Ranking</t>
  </si>
  <si>
    <t>GHG Ranking</t>
  </si>
  <si>
    <t>Direction from C/E</t>
  </si>
  <si>
    <t>GHGE Reduction (MMTCO2)</t>
  </si>
  <si>
    <t>Cost Effectiveness ($/MTCO2)</t>
  </si>
  <si>
    <t>low (2)</t>
  </si>
  <si>
    <t>GHG Reduction Amount Ranking</t>
  </si>
  <si>
    <t>Co-Benefits Only Ranking</t>
  </si>
  <si>
    <t xml:space="preserve">Multiplier = </t>
  </si>
  <si>
    <t>Co-Benefits Score Rank</t>
  </si>
  <si>
    <t>Level of Addressing Health Inequities</t>
  </si>
  <si>
    <t>Level of Reduced Health Risks</t>
  </si>
  <si>
    <t>Proposed</t>
  </si>
  <si>
    <t>Total</t>
  </si>
  <si>
    <t>Common</t>
  </si>
  <si>
    <t>Cost-Effectiveness (MAC) Ranking</t>
  </si>
  <si>
    <t xml:space="preserve">Cost-Effectiveness (MAC) </t>
  </si>
  <si>
    <t>C-E ($/MTCO2)</t>
  </si>
  <si>
    <t>=1/(+Scoring!Q6+Scoring!R6+Scoring!S6)</t>
  </si>
  <si>
    <t>Eval Criteria Score</t>
  </si>
  <si>
    <t>Eval Criteria Ranking</t>
  </si>
  <si>
    <t>GHGE (MMTCO2)</t>
  </si>
  <si>
    <t>Hybrid Scenario</t>
  </si>
  <si>
    <t>x</t>
  </si>
  <si>
    <t>Process changes</t>
  </si>
  <si>
    <t>Fuel change</t>
  </si>
  <si>
    <t>Notes:</t>
  </si>
  <si>
    <t>medium-low</t>
  </si>
  <si>
    <t>Depends on the source/location of the Renewable Hydrogen. Assume most produced out of state, so medium-low.</t>
  </si>
  <si>
    <t>Cumulative Health Benefits</t>
  </si>
  <si>
    <t>From a criteria pollutant perspective, this basically replaces natural gas with natural gas, they are just sourced differently, so actually zero (0).</t>
  </si>
  <si>
    <t>(-5 to +5)</t>
  </si>
  <si>
    <r>
      <t xml:space="preserve">50% -  </t>
    </r>
    <r>
      <rPr>
        <i/>
        <sz val="11"/>
        <rFont val="Calibri"/>
        <family val="2"/>
        <scheme val="minor"/>
      </rPr>
      <t xml:space="preserve">Number of cumulative person job years estimated to be created over time as a result of implementing the action
</t>
    </r>
    <r>
      <rPr>
        <sz val="11"/>
        <rFont val="Calibri"/>
        <family val="2"/>
        <scheme val="minor"/>
      </rPr>
      <t>The higher the number of cumulative job years, the higher the score.</t>
    </r>
  </si>
  <si>
    <r>
      <t xml:space="preserve">50% - </t>
    </r>
    <r>
      <rPr>
        <i/>
        <sz val="11"/>
        <rFont val="Calibri"/>
        <family val="2"/>
        <scheme val="minor"/>
      </rPr>
      <t xml:space="preserve">Decrease in household or business building energy cost (from the reduction in energy use) and transportation costs
</t>
    </r>
    <r>
      <rPr>
        <sz val="11"/>
        <rFont val="Calibri"/>
        <family val="2"/>
        <scheme val="minor"/>
      </rPr>
      <t>The higher the decrease in costs, the higher the score.</t>
    </r>
  </si>
  <si>
    <t>Updated Co-Benefits and Other Evaluation Criteria Proposal</t>
  </si>
  <si>
    <t>Not Evaluated because of insufficient Data</t>
  </si>
  <si>
    <t>Cumulative Health Benefits Zeros</t>
  </si>
  <si>
    <t>Nutrition</t>
  </si>
  <si>
    <t>From a criteria pollutant perspective, this replaces natural gas (which already has relatively low amounts of criteria pollutants, especially PMs) with Hydrogen, so low (6 pts)</t>
  </si>
  <si>
    <t>Compare C/E vs Scoring Ranking</t>
  </si>
  <si>
    <t>GHG Reduction Rank</t>
  </si>
  <si>
    <t xml:space="preserve">                                                                                      </t>
  </si>
  <si>
    <t xml:space="preserve">   </t>
  </si>
  <si>
    <t xml:space="preserve">    </t>
  </si>
  <si>
    <t xml:space="preserve">                    </t>
  </si>
  <si>
    <t>Evaluation Criteria</t>
  </si>
  <si>
    <t>Weighting (Points)</t>
  </si>
  <si>
    <t xml:space="preserve">Choose =  </t>
  </si>
  <si>
    <r>
      <t>List of Actions (</t>
    </r>
    <r>
      <rPr>
        <b/>
        <sz val="16"/>
        <color rgb="FFFF0000"/>
        <rFont val="Calibri"/>
        <family val="2"/>
        <scheme val="minor"/>
      </rPr>
      <t>Red</t>
    </r>
    <r>
      <rPr>
        <b/>
        <sz val="16"/>
        <color theme="1"/>
        <rFont val="Calibri"/>
        <family val="2"/>
        <scheme val="minor"/>
      </rPr>
      <t xml:space="preserve"> is Unique Action)</t>
    </r>
  </si>
  <si>
    <t>DEQ data</t>
  </si>
  <si>
    <t>Reduction in air pollution. Many environmental justice communities are typically exposed to more air pollution.</t>
  </si>
  <si>
    <t>Potential to address other health inequities. Many environmental justice communities experience more health inequities.</t>
  </si>
  <si>
    <t>Avoided health impacts and associated cost savings from reduction in air pollution/co-pollutants Health cost savings specifically from reduced mortality, heart attacks, hospital admissions, emergency room visits, asthma exacerbations, acute bronchitis, respiratory symptoms, restricted activity days, and work loss as a result of reducing air pollution. Reductions in air pollution include pollution from primary fine particulate matter (PM2.5) and precursors of secondary PM2.5, including nitrogen oxides (NOx), sulfur dioxide (SO2), ammonia (NH3), and volatile organic compounds (VOCs).  The higher the health cost savings, the higher the score.</t>
  </si>
  <si>
    <t>Reduction of other health risk factors/burdens. Actions proven to reduce other health risk factors/burdens include: 1) increasing physical activity through land use improvements and active transportation, 2) improving home indoor air quality and comfort, or 3) improving nutrition through sustainable food systems.</t>
  </si>
  <si>
    <t>Number of cumulative person job years estimated to be created over time as a result of implementing the action. The higher the number of cumulative job years, the higher the score.</t>
  </si>
  <si>
    <t>Evaluation Criteria:</t>
  </si>
  <si>
    <t>First Cut</t>
  </si>
  <si>
    <t>Second Cut</t>
  </si>
  <si>
    <t>Technical Feasibility - Reliance on Max Technical Potential</t>
  </si>
  <si>
    <t>- Technology proven and available at scale (yes/no)? If yes, more likely to happen</t>
  </si>
  <si>
    <t xml:space="preserve">- Reliance on maximum technical potential (yes/no)? If yes, possible won't be able to fully achieve. </t>
  </si>
  <si>
    <t>Amount of direct costs/savings (high/medium-high/medium/medium-low/low)? If more direct costs, potentially less politically feasible (even if reduces a lot of emissions or significant co-benefits).</t>
  </si>
  <si>
    <t>Timing of action/benefits (near-term, mid-term, long-term). The longer the lead time, the higher potential to not happen or go off course.</t>
  </si>
  <si>
    <t>- Can we technically do it?</t>
  </si>
  <si>
    <t>- 100% vs 50% will need more effort.</t>
  </si>
  <si>
    <t>First cut based on Cumulative Net Cost/Benefit.</t>
  </si>
  <si>
    <t>Likelihood of Legislative authorization? (Higher the capital cost, lower the score).</t>
  </si>
  <si>
    <t>Longer lead time, lower the score.</t>
  </si>
  <si>
    <t>- Do we know how to do it?</t>
  </si>
  <si>
    <t>- Is there no wiggle room? Do we need to get all of it (100%)?</t>
  </si>
  <si>
    <t>Second cut if major behavioral chg required:</t>
  </si>
  <si>
    <t>How quickly will the Action occur?</t>
  </si>
  <si>
    <t>- Do we have the technology now?</t>
  </si>
  <si>
    <t>- Reliance on the amount modelled?</t>
  </si>
  <si>
    <t>- Level of Individual behavior change?</t>
  </si>
  <si>
    <t>- More the reliance on a high amount, the lower the score.</t>
  </si>
  <si>
    <t>- More or higher Behavior change the lower the score.</t>
  </si>
  <si>
    <t>- Adoption rate? (Higher = lower score.)</t>
  </si>
  <si>
    <t>- Is there easy access to capital? (Easier = higher score.)</t>
  </si>
  <si>
    <t xml:space="preserve">                                                                                                                                                                                                                                                                                                                                                                                                                                                                                                                                                                                                                                                                                                                                                                                                                                                                                                                                                                                                                                                                                                                                                                                                                                                                                                                                                                                                                                                                                                                                                                                                                                                                                                                                                                                                                                                                                                                                                                                                                                                                                                                                                                                                                                                                                                                                                                                                                                                                                                                                                                                                                                                                                                                                                                                                                                                                                                                                                                                                                                                                                                                                                                                                                                                                                                                                           </t>
  </si>
  <si>
    <t>- Is there a direct cost share required?</t>
  </si>
  <si>
    <t>- Does the Action have high capital cost and low O&amp;M savings? (If so, then lower score.)</t>
  </si>
  <si>
    <r>
      <t xml:space="preserve">50% - </t>
    </r>
    <r>
      <rPr>
        <i/>
        <sz val="11"/>
        <rFont val="Calibri"/>
        <family val="2"/>
        <scheme val="minor"/>
      </rPr>
      <t xml:space="preserve">Reduction of other health risk factors/burdens
</t>
    </r>
    <r>
      <rPr>
        <sz val="11"/>
        <rFont val="Calibri"/>
        <family val="2"/>
        <scheme val="minor"/>
      </rPr>
      <t xml:space="preserve">Actions proven to reduce other health risk factors/burdens include:
- increasing physical activity through land use improvements and active transportation, 
- improving home indoor air quality and comfort, or 
- improving nutrition through sustainable food systems
</t>
    </r>
    <r>
      <rPr>
        <strike/>
        <sz val="11"/>
        <rFont val="Calibri"/>
        <family val="2"/>
        <scheme val="minor"/>
      </rPr>
      <t>If action is one of these types, it receives full points. Otherwise, it receives no points.</t>
    </r>
  </si>
  <si>
    <r>
      <t xml:space="preserve">Modi factions from approved proposal: deletions are in </t>
    </r>
    <r>
      <rPr>
        <strike/>
        <sz val="11"/>
        <color theme="1"/>
        <rFont val="Calibri"/>
        <family val="2"/>
        <scheme val="minor"/>
      </rPr>
      <t>strikethrough</t>
    </r>
    <r>
      <rPr>
        <sz val="11"/>
        <color theme="1"/>
        <rFont val="Calibri"/>
        <family val="2"/>
        <scheme val="minor"/>
      </rPr>
      <t xml:space="preserve"> and additions are in </t>
    </r>
    <r>
      <rPr>
        <sz val="11"/>
        <color rgb="FFFF0000"/>
        <rFont val="Calibri"/>
        <family val="2"/>
        <scheme val="minor"/>
      </rPr>
      <t>Red</t>
    </r>
    <r>
      <rPr>
        <sz val="11"/>
        <color theme="1"/>
        <rFont val="Calibri"/>
        <family val="2"/>
        <scheme val="minor"/>
      </rPr>
      <t>.</t>
    </r>
  </si>
  <si>
    <r>
      <t xml:space="preserve">Assessed by looking at:
</t>
    </r>
    <r>
      <rPr>
        <sz val="11"/>
        <color rgb="FFFF0000"/>
        <rFont val="Calibri"/>
        <family val="2"/>
        <scheme val="minor"/>
      </rPr>
      <t xml:space="preserve">40% </t>
    </r>
    <r>
      <rPr>
        <strike/>
        <sz val="11"/>
        <rFont val="Calibri"/>
        <family val="2"/>
        <scheme val="minor"/>
      </rPr>
      <t>33%</t>
    </r>
    <r>
      <rPr>
        <sz val="11"/>
        <rFont val="Calibri"/>
        <family val="2"/>
        <scheme val="minor"/>
      </rPr>
      <t xml:space="preserve"> </t>
    </r>
    <r>
      <rPr>
        <i/>
        <sz val="11"/>
        <rFont val="Calibri"/>
        <family val="2"/>
        <scheme val="minor"/>
      </rPr>
      <t>- Reduction in air pollution</t>
    </r>
    <r>
      <rPr>
        <sz val="11"/>
        <rFont val="Calibri"/>
        <family val="2"/>
        <scheme val="minor"/>
      </rPr>
      <t xml:space="preserve">. Many environmental justice communities are typically exposed to more air pollution.
</t>
    </r>
    <r>
      <rPr>
        <sz val="11"/>
        <color rgb="FFFF0000"/>
        <rFont val="Calibri"/>
        <family val="2"/>
        <scheme val="minor"/>
      </rPr>
      <t xml:space="preserve">20% </t>
    </r>
    <r>
      <rPr>
        <strike/>
        <sz val="11"/>
        <rFont val="Calibri"/>
        <family val="2"/>
        <scheme val="minor"/>
      </rPr>
      <t>33</t>
    </r>
    <r>
      <rPr>
        <i/>
        <strike/>
        <sz val="11"/>
        <rFont val="Calibri"/>
        <family val="2"/>
        <scheme val="minor"/>
      </rPr>
      <t>%</t>
    </r>
    <r>
      <rPr>
        <i/>
        <sz val="11"/>
        <rFont val="Calibri"/>
        <family val="2"/>
        <scheme val="minor"/>
      </rPr>
      <t xml:space="preserve"> - Potential to address other health inequities.</t>
    </r>
    <r>
      <rPr>
        <sz val="11"/>
        <rFont val="Calibri"/>
        <family val="2"/>
        <scheme val="minor"/>
      </rPr>
      <t xml:space="preserve"> Many environmental justice communities experience more health inequities.
</t>
    </r>
    <r>
      <rPr>
        <sz val="11"/>
        <color rgb="FFFF0000"/>
        <rFont val="Calibri"/>
        <family val="2"/>
        <scheme val="minor"/>
      </rPr>
      <t xml:space="preserve">40% </t>
    </r>
    <r>
      <rPr>
        <strike/>
        <sz val="11"/>
        <rFont val="Calibri"/>
        <family val="2"/>
        <scheme val="minor"/>
      </rPr>
      <t>33</t>
    </r>
    <r>
      <rPr>
        <i/>
        <strike/>
        <sz val="11"/>
        <rFont val="Calibri"/>
        <family val="2"/>
        <scheme val="minor"/>
      </rPr>
      <t>%</t>
    </r>
    <r>
      <rPr>
        <i/>
        <sz val="11"/>
        <rFont val="Calibri"/>
        <family val="2"/>
        <scheme val="minor"/>
      </rPr>
      <t xml:space="preserve"> - Relative level at which the action will help alleviate energy burden</t>
    </r>
    <r>
      <rPr>
        <sz val="11"/>
        <rFont val="Calibri"/>
        <family val="2"/>
        <scheme val="minor"/>
      </rPr>
      <t xml:space="preserve"> (reducing the number of </t>
    </r>
    <r>
      <rPr>
        <strike/>
        <sz val="11"/>
        <rFont val="Calibri"/>
        <family val="2"/>
        <scheme val="minor"/>
      </rPr>
      <t>Oregonians</t>
    </r>
    <r>
      <rPr>
        <sz val="11"/>
        <rFont val="Calibri"/>
        <family val="2"/>
        <scheme val="minor"/>
      </rPr>
      <t xml:space="preserve"> </t>
    </r>
    <r>
      <rPr>
        <sz val="11"/>
        <color rgb="FFFF0000"/>
        <rFont val="Calibri"/>
        <family val="2"/>
        <scheme val="minor"/>
      </rPr>
      <t>residents</t>
    </r>
    <r>
      <rPr>
        <sz val="11"/>
        <rFont val="Calibri"/>
        <family val="2"/>
        <scheme val="minor"/>
      </rPr>
      <t xml:space="preserve"> paying more than 6% of their income on energy). Many environmental justice communities are particularly impacted by energy burden. </t>
    </r>
    <r>
      <rPr>
        <sz val="11"/>
        <color rgb="FFFF0000"/>
        <rFont val="Calibri"/>
        <family val="2"/>
        <scheme val="minor"/>
      </rPr>
      <t>(No data on business energy burden.)</t>
    </r>
  </si>
  <si>
    <r>
      <t>Likelihood the cost-effectiveness, GHG emission reductions, and co-benefits from the action will actually materialize given risks and uncertainties (confidence in the probability: (low/</t>
    </r>
    <r>
      <rPr>
        <sz val="11"/>
        <color rgb="FFFF0000"/>
        <rFont val="Calibri"/>
        <family val="2"/>
        <scheme val="minor"/>
      </rPr>
      <t>medium-low/</t>
    </r>
    <r>
      <rPr>
        <sz val="11"/>
        <rFont val="Calibri"/>
        <family val="2"/>
        <scheme val="minor"/>
      </rPr>
      <t>medium/</t>
    </r>
    <r>
      <rPr>
        <sz val="11"/>
        <color rgb="FFFF0000"/>
        <rFont val="Calibri"/>
        <family val="2"/>
        <scheme val="minor"/>
      </rPr>
      <t>medium-high/</t>
    </r>
    <r>
      <rPr>
        <sz val="11"/>
        <rFont val="Calibri"/>
        <family val="2"/>
        <scheme val="minor"/>
      </rPr>
      <t xml:space="preserve">high) 
</t>
    </r>
  </si>
  <si>
    <r>
      <t xml:space="preserve">The higher the likelihood (i.e. the less risk and uncertainty), the higher the score. Assessed by looking at:
</t>
    </r>
    <r>
      <rPr>
        <i/>
        <sz val="11"/>
        <rFont val="Calibri"/>
        <family val="2"/>
        <scheme val="minor"/>
      </rPr>
      <t>40% - Technical feasibility</t>
    </r>
    <r>
      <rPr>
        <sz val="11"/>
        <rFont val="Calibri"/>
        <family val="2"/>
        <scheme val="minor"/>
      </rPr>
      <t xml:space="preserve">
- Technology proven and available at scale (yes/no)? If yes, more likely to happen. </t>
    </r>
    <r>
      <rPr>
        <sz val="11"/>
        <color rgb="FFFF0000"/>
        <rFont val="Calibri"/>
        <family val="2"/>
        <scheme val="minor"/>
      </rPr>
      <t>Can we technically do it? Do we know how to do it? Do we have the technology now?</t>
    </r>
    <r>
      <rPr>
        <sz val="11"/>
        <rFont val="Calibri"/>
        <family val="2"/>
        <scheme val="minor"/>
      </rPr>
      <t xml:space="preserve">
- Reliance on maximum technical potential (yes/no); if yes, possible won't be able to fully achieve. </t>
    </r>
    <r>
      <rPr>
        <sz val="11"/>
        <color rgb="FFFF0000"/>
        <rFont val="Calibri"/>
        <family val="2"/>
        <scheme val="minor"/>
      </rPr>
      <t>100% vs 50% will need more effort. Is there no wiggle room? Do we need to get all of it (100%)? Reliance on the amount modelled? More the reliance on a high amount, the lower the score.</t>
    </r>
    <r>
      <rPr>
        <sz val="11"/>
        <rFont val="Calibri"/>
        <family val="2"/>
        <scheme val="minor"/>
      </rPr>
      <t xml:space="preserve">
</t>
    </r>
    <r>
      <rPr>
        <i/>
        <sz val="11"/>
        <rFont val="Calibri"/>
        <family val="2"/>
        <scheme val="minor"/>
      </rPr>
      <t>40% - Political feasibility</t>
    </r>
    <r>
      <rPr>
        <sz val="11"/>
        <rFont val="Calibri"/>
        <family val="2"/>
        <scheme val="minor"/>
      </rPr>
      <t xml:space="preserve">
- Behavior change needed (high/</t>
    </r>
    <r>
      <rPr>
        <sz val="11"/>
        <color rgb="FFFF0000"/>
        <rFont val="Calibri"/>
        <family val="2"/>
        <scheme val="minor"/>
      </rPr>
      <t>medium-high/</t>
    </r>
    <r>
      <rPr>
        <sz val="11"/>
        <rFont val="Calibri"/>
        <family val="2"/>
        <scheme val="minor"/>
      </rPr>
      <t>medium/</t>
    </r>
    <r>
      <rPr>
        <sz val="11"/>
        <color rgb="FFFF0000"/>
        <rFont val="Calibri"/>
        <family val="2"/>
        <scheme val="minor"/>
      </rPr>
      <t>medium-low/</t>
    </r>
    <r>
      <rPr>
        <sz val="11"/>
        <rFont val="Calibri"/>
        <family val="2"/>
        <scheme val="minor"/>
      </rPr>
      <t xml:space="preserve">low); the more behavior change needed, the more potential to be less politically acceptable/adhered to. </t>
    </r>
    <r>
      <rPr>
        <sz val="11"/>
        <color rgb="FFFF0000"/>
        <rFont val="Calibri"/>
        <family val="2"/>
        <scheme val="minor"/>
      </rPr>
      <t>First cut based on Cumulative Net Cost/Benefit. Second cut if major behavioral chg required: Level of Individual behavior change? More or higher Behavior change the lower the score. Adoption rate? (Higher = lower score.) Is there easy access to capital? (Easier = higher score.) Is there a direct cost share required? Does the Action have high capital cost and low O&amp;M savings? (If so, then lower score.)</t>
    </r>
    <r>
      <rPr>
        <sz val="11"/>
        <rFont val="Calibri"/>
        <family val="2"/>
        <scheme val="minor"/>
      </rPr>
      <t xml:space="preserve">
- Amount of direct costs/savings (high/</t>
    </r>
    <r>
      <rPr>
        <sz val="11"/>
        <color rgb="FFFF0000"/>
        <rFont val="Calibri"/>
        <family val="2"/>
        <scheme val="minor"/>
      </rPr>
      <t>medium-high/</t>
    </r>
    <r>
      <rPr>
        <sz val="11"/>
        <rFont val="Calibri"/>
        <family val="2"/>
        <scheme val="minor"/>
      </rPr>
      <t>medium/</t>
    </r>
    <r>
      <rPr>
        <sz val="11"/>
        <color rgb="FFFF0000"/>
        <rFont val="Calibri"/>
        <family val="2"/>
        <scheme val="minor"/>
      </rPr>
      <t>medium-low/</t>
    </r>
    <r>
      <rPr>
        <sz val="11"/>
        <rFont val="Calibri"/>
        <family val="2"/>
        <scheme val="minor"/>
      </rPr>
      <t xml:space="preserve">low)? If more direct costs, potentially less politically feasible (even if reduces a lot of emissions or significant co-benefits). </t>
    </r>
    <r>
      <rPr>
        <sz val="11"/>
        <color rgb="FFFF0000"/>
        <rFont val="Calibri"/>
        <family val="2"/>
        <scheme val="minor"/>
      </rPr>
      <t>Likelihood of Legislative authorization? (Higher the capital cost, lower the score).</t>
    </r>
    <r>
      <rPr>
        <sz val="11"/>
        <rFont val="Calibri"/>
        <family val="2"/>
        <scheme val="minor"/>
      </rPr>
      <t xml:space="preserve">
2</t>
    </r>
    <r>
      <rPr>
        <i/>
        <sz val="11"/>
        <rFont val="Calibri"/>
        <family val="2"/>
        <scheme val="minor"/>
      </rPr>
      <t xml:space="preserve">0% - Implementation timing
- </t>
    </r>
    <r>
      <rPr>
        <sz val="11"/>
        <rFont val="Calibri"/>
        <family val="2"/>
        <scheme val="minor"/>
      </rPr>
      <t xml:space="preserve">Timing of action/benefits (near-term/mid-term/long-term). The longer the lead time, the higher potential to not happen or go off course. </t>
    </r>
    <r>
      <rPr>
        <sz val="11"/>
        <color rgb="FFFF0000"/>
        <rFont val="Calibri"/>
        <family val="2"/>
        <scheme val="minor"/>
      </rPr>
      <t>Longer lead time, lower the score. How quickly will the Action occur?</t>
    </r>
    <r>
      <rPr>
        <sz val="11"/>
        <rFont val="Calibri"/>
        <family val="2"/>
        <scheme val="minor"/>
      </rPr>
      <t xml:space="preserve">
</t>
    </r>
  </si>
  <si>
    <t>Relative level at which the action will help alleviate energy burden (reducing the number of residents paying more than 6% of their income on energy). Many environmental justice communities are particularly impacted by energy burden. (No data on business energy burden.)</t>
  </si>
  <si>
    <t xml:space="preserve">Depends on source/location of RNG production. Only 1/3 of potential is from OR, so medium-low. </t>
  </si>
  <si>
    <t>Decrease in household or business building energy cost (from the reduction in energy use) and transportation costs. The higher the decrease in costs, the higher the score.</t>
  </si>
  <si>
    <t>Likelihood the cost-effectiveness, GHG emission reductions, and co-benefits from the action will actually materialize given risks and uncertainties (confidence in the probability: (low/medium-low/medium/medium-high/high). The higher the likelihood (i.e. the less risk and uncertainty), the higher the score.</t>
  </si>
  <si>
    <t>Behavior change needed (high/medium-high/medium/medium-low/low); the more behavior change needed, the more potential to be less politically acceptable/adhered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</si>
</sst>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0.0%"/>
    <numFmt numFmtId="167" formatCode="_(* #,##0_);_(* \(#,##0\);_(* &quot;-&quot;??_);_(@_)"/>
    <numFmt numFmtId="168" formatCode="0.00_);[Red]\(0.00\)"/>
    <numFmt numFmtId="169" formatCode="#,##0.000_);[Red]\(#,##0.000\)"/>
  </numFmts>
  <fonts count="37">
    <font>
      <sz val="11"/>
      <color theme="1"/>
      <name val="Calibri"/>
      <family val="2"/>
      <scheme val="minor"/>
    </font>
    <font>
      <sz val="11"/>
      <color theme="1"/>
      <name val="Arial"/>
      <family val="2"/>
    </font>
    <font>
      <b/>
      <sz val="11"/>
      <color theme="1"/>
      <name val="Calibri"/>
      <family val="2"/>
      <scheme val="minor"/>
    </font>
    <font>
      <b/>
      <sz val="18"/>
      <color theme="1"/>
      <name val="Calibri"/>
      <family val="2"/>
      <scheme val="minor"/>
    </font>
    <font>
      <sz val="11"/>
      <name val="Calibri"/>
      <family val="2"/>
      <scheme val="minor"/>
    </font>
    <font>
      <sz val="8"/>
      <name val="Calibri"/>
      <family val="2"/>
      <scheme val="minor"/>
    </font>
    <font>
      <i/>
      <sz val="11"/>
      <name val="Calibri"/>
      <family val="2"/>
      <scheme val="minor"/>
    </font>
    <font>
      <sz val="11"/>
      <color theme="1"/>
      <name val="Calibri"/>
      <family val="2"/>
      <scheme val="minor"/>
    </font>
    <font>
      <i/>
      <sz val="11"/>
      <color rgb="FF7F7F7F"/>
      <name val="Arial"/>
      <family val="2"/>
    </font>
    <font>
      <b/>
      <sz val="16"/>
      <color theme="1"/>
      <name val="Calibri"/>
      <family val="2"/>
      <scheme val="minor"/>
    </font>
    <font>
      <b/>
      <u/>
      <sz val="16"/>
      <color theme="1"/>
      <name val="Arial"/>
      <family val="2"/>
    </font>
    <font>
      <b/>
      <sz val="10"/>
      <color indexed="81"/>
      <name val="Tahoma"/>
      <family val="2"/>
    </font>
    <font>
      <sz val="10"/>
      <color indexed="81"/>
      <name val="Tahoma"/>
      <family val="2"/>
    </font>
    <font>
      <b/>
      <sz val="9"/>
      <color indexed="81"/>
      <name val="Tahoma"/>
      <family val="2"/>
    </font>
    <font>
      <sz val="9"/>
      <color indexed="81"/>
      <name val="Tahoma"/>
      <family val="2"/>
    </font>
    <font>
      <b/>
      <i/>
      <sz val="14"/>
      <color theme="1"/>
      <name val="Calibri"/>
      <family val="2"/>
      <scheme val="minor"/>
    </font>
    <font>
      <strike/>
      <sz val="11"/>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b/>
      <sz val="11"/>
      <color rgb="FFFF0000"/>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
      <sz val="9"/>
      <color theme="1"/>
      <name val="Segoe UI"/>
      <family val="2"/>
    </font>
    <font>
      <sz val="11"/>
      <color rgb="FFFF0000"/>
      <name val="Calibri"/>
      <family val="2"/>
      <scheme val="minor"/>
    </font>
    <font>
      <strike/>
      <sz val="11"/>
      <name val="Calibri"/>
      <family val="2"/>
      <scheme val="minor"/>
    </font>
    <font>
      <i/>
      <strike/>
      <sz val="11"/>
      <name val="Calibri"/>
      <family val="2"/>
      <scheme val="minor"/>
    </font>
    <font>
      <b/>
      <sz val="11"/>
      <color theme="1"/>
      <name val="Arial"/>
      <family val="2"/>
    </font>
    <font>
      <b/>
      <sz val="16"/>
      <color rgb="FFFF0000"/>
      <name val="Calibri"/>
      <family val="2"/>
      <scheme val="minor"/>
    </font>
    <font>
      <b/>
      <sz val="11"/>
      <name val="Arial"/>
      <family val="2"/>
    </font>
    <font>
      <b/>
      <i/>
      <sz val="11"/>
      <name val="Arial"/>
      <family val="2"/>
    </font>
    <font>
      <sz val="11"/>
      <name val="Arial"/>
      <family val="2"/>
    </font>
    <font>
      <u/>
      <sz val="16"/>
      <color theme="1"/>
      <name val="Arial"/>
      <family val="2"/>
    </font>
    <font>
      <strike/>
      <sz val="11"/>
      <color theme="1"/>
      <name val="Arial"/>
      <family val="2"/>
    </font>
    <font>
      <b/>
      <sz val="16"/>
      <color theme="1"/>
      <name val="Arial"/>
      <family val="2"/>
    </font>
    <font>
      <b/>
      <u/>
      <sz val="11"/>
      <color theme="1"/>
      <name val="Calibri"/>
      <family val="2"/>
      <scheme val="minor"/>
    </font>
  </fonts>
  <fills count="28">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AF1DD"/>
        <bgColor indexed="64"/>
      </patternFill>
    </fill>
    <fill>
      <patternFill patternType="solid">
        <fgColor rgb="FFE5E0EC"/>
        <bgColor indexed="64"/>
      </patternFill>
    </fill>
    <fill>
      <patternFill patternType="solid">
        <fgColor rgb="FFF2DDDC"/>
        <bgColor indexed="64"/>
      </patternFill>
    </fill>
    <fill>
      <patternFill patternType="solid">
        <fgColor rgb="FFDBEEF3"/>
        <bgColor indexed="64"/>
      </patternFill>
    </fill>
    <fill>
      <patternFill patternType="solid">
        <fgColor rgb="FFB8CCE4"/>
        <bgColor indexed="64"/>
      </patternFill>
    </fill>
    <fill>
      <patternFill patternType="solid">
        <fgColor rgb="FFFFFFCC"/>
        <bgColor indexed="64"/>
      </patternFill>
    </fill>
    <fill>
      <patternFill patternType="solid">
        <fgColor rgb="FFCCFF99"/>
        <bgColor indexed="64"/>
      </patternFill>
    </fill>
    <fill>
      <patternFill patternType="solid">
        <fgColor rgb="FFCCFFCC"/>
        <bgColor indexed="64"/>
      </patternFill>
    </fill>
    <fill>
      <patternFill patternType="solid">
        <fgColor theme="0"/>
        <bgColor theme="0"/>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66FFFF"/>
        <bgColor indexed="64"/>
      </patternFill>
    </fill>
    <fill>
      <patternFill patternType="solid">
        <fgColor theme="0" tint="-0.249977111117893"/>
        <bgColor indexed="64"/>
      </patternFill>
    </fill>
    <fill>
      <patternFill patternType="solid">
        <fgColor rgb="FF66CCFF"/>
        <bgColor indexed="64"/>
      </patternFill>
    </fill>
    <fill>
      <patternFill patternType="solid">
        <fgColor theme="9" tint="0.39997558519241921"/>
        <bgColor indexed="64"/>
      </patternFill>
    </fill>
    <fill>
      <patternFill patternType="solid">
        <fgColor rgb="FFFF5050"/>
        <bgColor indexed="64"/>
      </patternFill>
    </fill>
    <fill>
      <patternFill patternType="solid">
        <fgColor rgb="FF49C349"/>
        <bgColor indexed="64"/>
      </patternFill>
    </fill>
    <fill>
      <patternFill patternType="solid">
        <fgColor rgb="FFFACFA0"/>
        <bgColor indexed="64"/>
      </patternFill>
    </fill>
    <fill>
      <patternFill patternType="solid">
        <fgColor rgb="FFDBEDF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7"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xf numFmtId="44" fontId="7" fillId="0" borderId="0" applyFont="0" applyFill="0" applyBorder="0" applyAlignment="0" applyProtection="0"/>
  </cellStyleXfs>
  <cellXfs count="335">
    <xf numFmtId="0" fontId="0" fillId="0" borderId="0" xfId="0"/>
    <xf numFmtId="0" fontId="0" fillId="0" borderId="0" xfId="0" applyAlignment="1">
      <alignment wrapText="1"/>
    </xf>
    <xf numFmtId="0" fontId="2" fillId="0" borderId="0" xfId="0" applyFont="1" applyAlignment="1">
      <alignment wrapText="1"/>
    </xf>
    <xf numFmtId="0" fontId="0" fillId="0" borderId="1" xfId="0" applyBorder="1"/>
    <xf numFmtId="20" fontId="0" fillId="0" borderId="0" xfId="0" applyNumberFormat="1"/>
    <xf numFmtId="0" fontId="0" fillId="5" borderId="1" xfId="0" applyFill="1" applyBorder="1" applyAlignment="1">
      <alignment horizontal="center" vertical="center"/>
    </xf>
    <xf numFmtId="0" fontId="4" fillId="0" borderId="1" xfId="0" applyFont="1" applyBorder="1" applyAlignment="1">
      <alignment wrapText="1"/>
    </xf>
    <xf numFmtId="0" fontId="4" fillId="0" borderId="1" xfId="0" applyFont="1" applyBorder="1" applyAlignment="1">
      <alignment vertical="top" wrapText="1"/>
    </xf>
    <xf numFmtId="9" fontId="4" fillId="0" borderId="1" xfId="0" applyNumberFormat="1" applyFont="1" applyBorder="1" applyAlignment="1">
      <alignment horizontal="left" vertical="top"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2" fillId="2" borderId="1" xfId="0" applyFont="1" applyFill="1" applyBorder="1" applyAlignment="1">
      <alignment horizontal="center" wrapText="1"/>
    </xf>
    <xf numFmtId="0" fontId="4" fillId="0" borderId="1" xfId="0" applyFont="1" applyBorder="1" applyAlignment="1">
      <alignment horizontal="center" vertical="center" wrapText="1"/>
    </xf>
    <xf numFmtId="3" fontId="0" fillId="0" borderId="0" xfId="0" applyNumberFormat="1"/>
    <xf numFmtId="3" fontId="0" fillId="0" borderId="1" xfId="0" applyNumberFormat="1" applyBorder="1"/>
    <xf numFmtId="0" fontId="2" fillId="0" borderId="0" xfId="0" applyFont="1"/>
    <xf numFmtId="9" fontId="0" fillId="0" borderId="0" xfId="0" applyNumberFormat="1"/>
    <xf numFmtId="9" fontId="4" fillId="0" borderId="1" xfId="0" applyNumberFormat="1"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9" fontId="0" fillId="0" borderId="0" xfId="1" applyFont="1"/>
    <xf numFmtId="2" fontId="0" fillId="0" borderId="0" xfId="0" applyNumberFormat="1"/>
    <xf numFmtId="164" fontId="0" fillId="0" borderId="0" xfId="0" applyNumberFormat="1"/>
    <xf numFmtId="9" fontId="0" fillId="0" borderId="1" xfId="1" applyFont="1" applyBorder="1"/>
    <xf numFmtId="0" fontId="9" fillId="0" borderId="0" xfId="0" applyFont="1"/>
    <xf numFmtId="0" fontId="10" fillId="0" borderId="0" xfId="0" applyFont="1" applyAlignment="1">
      <alignment horizontal="left" vertical="center"/>
    </xf>
    <xf numFmtId="0" fontId="0" fillId="0" borderId="1" xfId="0" applyBorder="1" applyAlignment="1">
      <alignment horizontal="center"/>
    </xf>
    <xf numFmtId="0" fontId="0" fillId="12" borderId="1" xfId="0" applyFill="1" applyBorder="1" applyAlignment="1">
      <alignment horizontal="center" vertical="center" wrapText="1"/>
    </xf>
    <xf numFmtId="0" fontId="0" fillId="12" borderId="1" xfId="0" quotePrefix="1" applyFill="1" applyBorder="1" applyAlignment="1">
      <alignment horizontal="center" vertical="center"/>
    </xf>
    <xf numFmtId="9" fontId="0" fillId="12" borderId="1" xfId="1" applyFont="1" applyFill="1" applyBorder="1" applyAlignment="1">
      <alignment horizontal="center"/>
    </xf>
    <xf numFmtId="0" fontId="0" fillId="12" borderId="1" xfId="0" applyFill="1" applyBorder="1" applyAlignment="1">
      <alignment horizontal="center"/>
    </xf>
    <xf numFmtId="0" fontId="0" fillId="11" borderId="1" xfId="0" applyFill="1" applyBorder="1" applyAlignment="1">
      <alignment horizontal="center" vertical="center" wrapText="1"/>
    </xf>
    <xf numFmtId="0" fontId="0" fillId="11" borderId="1" xfId="0" quotePrefix="1" applyFill="1" applyBorder="1" applyAlignment="1">
      <alignment horizontal="center" vertical="center"/>
    </xf>
    <xf numFmtId="9" fontId="0" fillId="11" borderId="1" xfId="1" applyFont="1" applyFill="1" applyBorder="1" applyAlignment="1">
      <alignment horizontal="center"/>
    </xf>
    <xf numFmtId="0" fontId="0" fillId="11" borderId="1" xfId="0" applyFill="1" applyBorder="1" applyAlignment="1">
      <alignment horizontal="center"/>
    </xf>
    <xf numFmtId="0" fontId="0" fillId="7" borderId="1" xfId="0" applyFill="1" applyBorder="1" applyAlignment="1">
      <alignment horizontal="center" wrapText="1"/>
    </xf>
    <xf numFmtId="0" fontId="0" fillId="7" borderId="1" xfId="0" applyFill="1" applyBorder="1" applyAlignment="1">
      <alignment horizontal="center"/>
    </xf>
    <xf numFmtId="0" fontId="0" fillId="6" borderId="1" xfId="0" applyFill="1" applyBorder="1" applyAlignment="1">
      <alignment horizontal="center" wrapText="1"/>
    </xf>
    <xf numFmtId="9" fontId="0" fillId="6" borderId="1" xfId="1" applyFont="1" applyFill="1" applyBorder="1" applyAlignment="1">
      <alignment horizontal="center"/>
    </xf>
    <xf numFmtId="0" fontId="0" fillId="6" borderId="1" xfId="0" applyFill="1" applyBorder="1" applyAlignment="1">
      <alignment horizontal="center"/>
    </xf>
    <xf numFmtId="0" fontId="0" fillId="8" borderId="1" xfId="0" applyFill="1" applyBorder="1" applyAlignment="1">
      <alignment horizontal="center" wrapText="1"/>
    </xf>
    <xf numFmtId="9" fontId="0" fillId="8" borderId="1" xfId="1" applyFont="1" applyFill="1" applyBorder="1" applyAlignment="1">
      <alignment horizontal="center"/>
    </xf>
    <xf numFmtId="0" fontId="0" fillId="8" borderId="1" xfId="0" applyFill="1" applyBorder="1" applyAlignment="1">
      <alignment horizontal="center"/>
    </xf>
    <xf numFmtId="0" fontId="0" fillId="9" borderId="1" xfId="0" applyFill="1" applyBorder="1" applyAlignment="1">
      <alignment horizontal="center" wrapText="1"/>
    </xf>
    <xf numFmtId="9" fontId="0" fillId="9" borderId="1" xfId="1" applyFont="1" applyFill="1" applyBorder="1" applyAlignment="1">
      <alignment horizontal="center"/>
    </xf>
    <xf numFmtId="2" fontId="0" fillId="9" borderId="1" xfId="0" applyNumberFormat="1" applyFill="1" applyBorder="1" applyAlignment="1">
      <alignment horizontal="center"/>
    </xf>
    <xf numFmtId="166" fontId="0" fillId="7" borderId="1" xfId="1" applyNumberFormat="1" applyFont="1" applyFill="1" applyBorder="1" applyAlignment="1">
      <alignment horizontal="center"/>
    </xf>
    <xf numFmtId="0" fontId="16" fillId="0" borderId="1" xfId="0" applyFont="1" applyBorder="1"/>
    <xf numFmtId="0" fontId="0" fillId="0" borderId="0" xfId="0" applyAlignment="1">
      <alignment horizontal="center"/>
    </xf>
    <xf numFmtId="0" fontId="0" fillId="0" borderId="10" xfId="0" applyBorder="1" applyAlignment="1">
      <alignment horizontal="center"/>
    </xf>
    <xf numFmtId="0" fontId="2" fillId="0" borderId="1" xfId="0" applyFont="1" applyBorder="1" applyAlignment="1">
      <alignment horizontal="center"/>
    </xf>
    <xf numFmtId="0" fontId="15" fillId="0" borderId="1" xfId="0" applyFont="1" applyBorder="1"/>
    <xf numFmtId="0" fontId="17" fillId="0" borderId="0" xfId="0" applyFont="1"/>
    <xf numFmtId="0" fontId="18" fillId="0" borderId="0" xfId="0" applyFont="1"/>
    <xf numFmtId="0" fontId="19" fillId="0" borderId="0" xfId="0" applyFont="1"/>
    <xf numFmtId="0" fontId="16" fillId="15" borderId="1" xfId="0" applyFont="1" applyFill="1" applyBorder="1"/>
    <xf numFmtId="0" fontId="16" fillId="0" borderId="0" xfId="0" applyFont="1" applyAlignment="1">
      <alignment horizontal="center"/>
    </xf>
    <xf numFmtId="0" fontId="20" fillId="0" borderId="0" xfId="0" applyFont="1"/>
    <xf numFmtId="0" fontId="2" fillId="17" borderId="1" xfId="0" applyFont="1" applyFill="1" applyBorder="1" applyAlignment="1">
      <alignment horizontal="center" wrapText="1"/>
    </xf>
    <xf numFmtId="0" fontId="18" fillId="18" borderId="0" xfId="0" applyFont="1" applyFill="1"/>
    <xf numFmtId="0" fontId="9" fillId="0" borderId="0" xfId="0" applyFont="1" applyAlignment="1">
      <alignment horizontal="left"/>
    </xf>
    <xf numFmtId="0" fontId="2" fillId="17" borderId="1" xfId="0" applyFont="1" applyFill="1" applyBorder="1" applyAlignment="1">
      <alignment wrapText="1"/>
    </xf>
    <xf numFmtId="6" fontId="0" fillId="0" borderId="1" xfId="0" applyNumberFormat="1" applyBorder="1"/>
    <xf numFmtId="38" fontId="0" fillId="0" borderId="1" xfId="0" applyNumberFormat="1" applyBorder="1"/>
    <xf numFmtId="166" fontId="0" fillId="0" borderId="1" xfId="1" applyNumberFormat="1" applyFont="1" applyBorder="1"/>
    <xf numFmtId="38" fontId="0" fillId="16" borderId="1" xfId="0" applyNumberFormat="1" applyFill="1" applyBorder="1"/>
    <xf numFmtId="6" fontId="0" fillId="16" borderId="1" xfId="0" applyNumberFormat="1" applyFill="1" applyBorder="1"/>
    <xf numFmtId="38" fontId="0" fillId="0" borderId="0" xfId="0" applyNumberFormat="1"/>
    <xf numFmtId="0" fontId="0" fillId="17" borderId="1" xfId="0" applyFill="1" applyBorder="1" applyAlignment="1">
      <alignment horizontal="center"/>
    </xf>
    <xf numFmtId="167" fontId="0" fillId="0" borderId="0" xfId="2" applyNumberFormat="1" applyFont="1"/>
    <xf numFmtId="3" fontId="20" fillId="0" borderId="0" xfId="0" applyNumberFormat="1" applyFont="1"/>
    <xf numFmtId="3" fontId="0" fillId="0" borderId="0" xfId="0" applyNumberFormat="1" applyAlignment="1">
      <alignment horizontal="center"/>
    </xf>
    <xf numFmtId="0" fontId="0" fillId="19" borderId="1" xfId="0" applyFill="1" applyBorder="1" applyAlignment="1">
      <alignment horizontal="center" wrapText="1"/>
    </xf>
    <xf numFmtId="0" fontId="0" fillId="19" borderId="1" xfId="0" applyFill="1" applyBorder="1" applyAlignment="1">
      <alignment horizontal="center"/>
    </xf>
    <xf numFmtId="164" fontId="0" fillId="0" borderId="1" xfId="0" applyNumberFormat="1" applyBorder="1"/>
    <xf numFmtId="0" fontId="2" fillId="0" borderId="1" xfId="0" applyFont="1" applyBorder="1" applyAlignment="1">
      <alignment horizontal="center" vertical="center"/>
    </xf>
    <xf numFmtId="38"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6" fontId="0" fillId="0" borderId="0" xfId="0" applyNumberFormat="1"/>
    <xf numFmtId="9" fontId="2" fillId="17" borderId="1" xfId="1" applyFont="1" applyFill="1" applyBorder="1" applyAlignment="1">
      <alignment horizontal="right" wrapText="1"/>
    </xf>
    <xf numFmtId="3" fontId="0" fillId="0" borderId="13" xfId="0" applyNumberFormat="1" applyBorder="1"/>
    <xf numFmtId="3" fontId="0" fillId="0" borderId="19" xfId="0" applyNumberFormat="1" applyBorder="1"/>
    <xf numFmtId="3" fontId="0" fillId="0" borderId="18" xfId="0" applyNumberFormat="1" applyBorder="1" applyAlignment="1">
      <alignment horizontal="center" wrapText="1"/>
    </xf>
    <xf numFmtId="166" fontId="0" fillId="0" borderId="0" xfId="1" applyNumberFormat="1" applyFont="1"/>
    <xf numFmtId="3" fontId="0" fillId="0" borderId="17" xfId="0" applyNumberFormat="1" applyBorder="1"/>
    <xf numFmtId="0" fontId="2" fillId="0" borderId="1" xfId="0" applyFont="1" applyBorder="1"/>
    <xf numFmtId="3" fontId="2" fillId="17" borderId="1" xfId="0" applyNumberFormat="1" applyFont="1" applyFill="1" applyBorder="1" applyAlignment="1">
      <alignment horizontal="center" wrapText="1"/>
    </xf>
    <xf numFmtId="0" fontId="2" fillId="17" borderId="1" xfId="0" applyFont="1" applyFill="1" applyBorder="1"/>
    <xf numFmtId="0" fontId="2" fillId="19" borderId="1" xfId="0" applyFont="1" applyFill="1" applyBorder="1" applyAlignment="1">
      <alignment horizontal="center" wrapText="1"/>
    </xf>
    <xf numFmtId="0" fontId="2" fillId="17" borderId="1" xfId="0" applyFont="1" applyFill="1" applyBorder="1" applyAlignment="1">
      <alignment horizontal="center"/>
    </xf>
    <xf numFmtId="167" fontId="0" fillId="0" borderId="1" xfId="2" applyNumberFormat="1" applyFont="1" applyBorder="1"/>
    <xf numFmtId="3" fontId="0" fillId="0" borderId="1" xfId="0" applyNumberFormat="1" applyBorder="1" applyAlignment="1">
      <alignment horizontal="center"/>
    </xf>
    <xf numFmtId="0" fontId="0" fillId="0" borderId="1" xfId="0" quotePrefix="1" applyBorder="1"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2" fillId="17" borderId="1" xfId="0" applyFont="1" applyFill="1" applyBorder="1" applyAlignment="1">
      <alignment horizontal="right"/>
    </xf>
    <xf numFmtId="0" fontId="2" fillId="17" borderId="1" xfId="0" applyFont="1" applyFill="1" applyBorder="1" applyAlignment="1">
      <alignment horizontal="center" vertical="center"/>
    </xf>
    <xf numFmtId="1" fontId="0" fillId="0" borderId="1" xfId="0" applyNumberFormat="1" applyBorder="1" applyAlignment="1">
      <alignment horizontal="center"/>
    </xf>
    <xf numFmtId="0" fontId="0" fillId="9" borderId="1" xfId="0" applyFill="1" applyBorder="1" applyAlignment="1">
      <alignment horizontal="center" vertical="center"/>
    </xf>
    <xf numFmtId="0" fontId="0" fillId="0" borderId="0" xfId="0" applyAlignment="1">
      <alignment horizontal="left"/>
    </xf>
    <xf numFmtId="164" fontId="0" fillId="0" borderId="0" xfId="0" applyNumberFormat="1" applyAlignment="1">
      <alignment horizontal="center"/>
    </xf>
    <xf numFmtId="0" fontId="22" fillId="23" borderId="0" xfId="0" applyFont="1" applyFill="1"/>
    <xf numFmtId="0" fontId="18" fillId="23" borderId="0" xfId="0" applyFont="1" applyFill="1"/>
    <xf numFmtId="0" fontId="0" fillId="0" borderId="19" xfId="0" applyBorder="1"/>
    <xf numFmtId="168" fontId="0" fillId="0" borderId="0" xfId="1" applyNumberFormat="1" applyFont="1"/>
    <xf numFmtId="0" fontId="9" fillId="0" borderId="0" xfId="0" applyFont="1" applyAlignment="1">
      <alignment horizontal="center"/>
    </xf>
    <xf numFmtId="0" fontId="0" fillId="17" borderId="1" xfId="0" applyFill="1" applyBorder="1"/>
    <xf numFmtId="0" fontId="0" fillId="17" borderId="1" xfId="0" applyFill="1" applyBorder="1" applyAlignment="1">
      <alignment wrapText="1"/>
    </xf>
    <xf numFmtId="0" fontId="0" fillId="0" borderId="0" xfId="0" applyAlignment="1">
      <alignment horizontal="center" wrapText="1"/>
    </xf>
    <xf numFmtId="0" fontId="2" fillId="17" borderId="1" xfId="0" applyFont="1" applyFill="1" applyBorder="1" applyAlignment="1">
      <alignment horizontal="right" wrapText="1"/>
    </xf>
    <xf numFmtId="0" fontId="0" fillId="13" borderId="0" xfId="0" applyFill="1"/>
    <xf numFmtId="0" fontId="23" fillId="13" borderId="0" xfId="0" applyFont="1" applyFill="1"/>
    <xf numFmtId="0" fontId="0" fillId="13" borderId="1" xfId="0" applyFill="1" applyBorder="1"/>
    <xf numFmtId="0" fontId="0" fillId="13" borderId="1" xfId="0" quotePrefix="1" applyFill="1" applyBorder="1"/>
    <xf numFmtId="0" fontId="0" fillId="13" borderId="1" xfId="0" applyFill="1" applyBorder="1" applyAlignment="1">
      <alignment horizontal="center"/>
    </xf>
    <xf numFmtId="166" fontId="0" fillId="0" borderId="1" xfId="1" applyNumberFormat="1" applyFont="1" applyFill="1" applyBorder="1"/>
    <xf numFmtId="166" fontId="0" fillId="0" borderId="17" xfId="1" applyNumberFormat="1" applyFont="1" applyBorder="1"/>
    <xf numFmtId="166" fontId="21" fillId="0" borderId="1" xfId="1" applyNumberFormat="1" applyFont="1" applyBorder="1" applyAlignment="1">
      <alignment horizontal="center" vertical="center"/>
    </xf>
    <xf numFmtId="0" fontId="9" fillId="0" borderId="0" xfId="0" applyFont="1" applyAlignment="1">
      <alignment horizontal="left" vertical="center"/>
    </xf>
    <xf numFmtId="169" fontId="0" fillId="0" borderId="1" xfId="0" applyNumberFormat="1" applyBorder="1"/>
    <xf numFmtId="164" fontId="0" fillId="0" borderId="1" xfId="0" applyNumberFormat="1" applyBorder="1" applyAlignment="1">
      <alignment horizontal="center"/>
    </xf>
    <xf numFmtId="38" fontId="0" fillId="0" borderId="0" xfId="0" applyNumberFormat="1" applyAlignment="1">
      <alignment horizontal="center"/>
    </xf>
    <xf numFmtId="0" fontId="2" fillId="24" borderId="1" xfId="0" applyFont="1" applyFill="1" applyBorder="1" applyAlignment="1">
      <alignment horizontal="center"/>
    </xf>
    <xf numFmtId="0" fontId="2" fillId="25" borderId="1" xfId="0" applyFont="1" applyFill="1" applyBorder="1" applyAlignment="1">
      <alignment horizontal="center"/>
    </xf>
    <xf numFmtId="0" fontId="2" fillId="0" borderId="1" xfId="0" applyFont="1" applyBorder="1" applyAlignment="1">
      <alignment horizontal="right"/>
    </xf>
    <xf numFmtId="0" fontId="2" fillId="26" borderId="1" xfId="0" applyFont="1" applyFill="1" applyBorder="1" applyAlignment="1">
      <alignment horizontal="center"/>
    </xf>
    <xf numFmtId="0" fontId="9" fillId="0" borderId="17" xfId="0" applyFont="1" applyBorder="1" applyAlignment="1">
      <alignment horizontal="left"/>
    </xf>
    <xf numFmtId="0" fontId="9" fillId="0" borderId="18" xfId="0" applyFont="1" applyBorder="1" applyAlignment="1">
      <alignment horizontal="left"/>
    </xf>
    <xf numFmtId="0" fontId="9" fillId="0" borderId="19" xfId="0" applyFont="1" applyBorder="1" applyAlignment="1">
      <alignment horizontal="left"/>
    </xf>
    <xf numFmtId="0" fontId="2" fillId="0" borderId="0" xfId="0" applyFont="1" applyAlignment="1">
      <alignment horizontal="center" vertical="center"/>
    </xf>
    <xf numFmtId="0" fontId="2" fillId="25" borderId="1" xfId="0" applyFont="1" applyFill="1" applyBorder="1" applyAlignment="1">
      <alignment horizontal="center" vertical="center"/>
    </xf>
    <xf numFmtId="0" fontId="2" fillId="24" borderId="1" xfId="0" applyFont="1" applyFill="1" applyBorder="1" applyAlignment="1">
      <alignment horizontal="center" vertical="center"/>
    </xf>
    <xf numFmtId="6" fontId="0" fillId="0" borderId="1" xfId="0" applyNumberFormat="1" applyBorder="1" applyAlignment="1">
      <alignment horizontal="right"/>
    </xf>
    <xf numFmtId="164" fontId="2" fillId="17" borderId="1" xfId="0" applyNumberFormat="1" applyFont="1" applyFill="1" applyBorder="1" applyAlignment="1">
      <alignment horizontal="center"/>
    </xf>
    <xf numFmtId="0" fontId="0" fillId="17" borderId="1" xfId="0" applyFill="1" applyBorder="1" applyAlignment="1">
      <alignment horizontal="right"/>
    </xf>
    <xf numFmtId="0" fontId="0" fillId="0" borderId="1" xfId="0" applyBorder="1" applyAlignment="1">
      <alignment horizontal="left"/>
    </xf>
    <xf numFmtId="0" fontId="0" fillId="25" borderId="1" xfId="0" applyFill="1" applyBorder="1" applyAlignment="1">
      <alignment horizontal="center"/>
    </xf>
    <xf numFmtId="0" fontId="0" fillId="24" borderId="1" xfId="0" applyFill="1" applyBorder="1" applyAlignment="1">
      <alignment horizontal="center"/>
    </xf>
    <xf numFmtId="0" fontId="24" fillId="0" borderId="0" xfId="0" applyFont="1" applyAlignment="1">
      <alignment vertical="center"/>
    </xf>
    <xf numFmtId="164" fontId="0" fillId="17" borderId="1" xfId="0" quotePrefix="1" applyNumberFormat="1" applyFill="1" applyBorder="1" applyAlignment="1">
      <alignment horizontal="center"/>
    </xf>
    <xf numFmtId="0" fontId="0" fillId="0" borderId="0" xfId="0" quotePrefix="1" applyAlignment="1">
      <alignment horizontal="center"/>
    </xf>
    <xf numFmtId="6" fontId="0" fillId="0" borderId="1" xfId="0" applyNumberFormat="1" applyBorder="1" applyAlignment="1">
      <alignment horizontal="center"/>
    </xf>
    <xf numFmtId="0" fontId="9" fillId="0" borderId="18" xfId="0" applyFont="1" applyBorder="1"/>
    <xf numFmtId="166" fontId="0" fillId="0" borderId="1" xfId="1" applyNumberFormat="1" applyFont="1" applyFill="1" applyBorder="1" applyAlignment="1">
      <alignment horizontal="center"/>
    </xf>
    <xf numFmtId="3" fontId="0" fillId="25" borderId="1" xfId="0" applyNumberFormat="1" applyFill="1" applyBorder="1" applyAlignment="1">
      <alignment horizontal="center"/>
    </xf>
    <xf numFmtId="44" fontId="0" fillId="0" borderId="0" xfId="4" applyFont="1"/>
    <xf numFmtId="1" fontId="0" fillId="0" borderId="0" xfId="0" applyNumberFormat="1"/>
    <xf numFmtId="38" fontId="0" fillId="0" borderId="1" xfId="0" applyNumberFormat="1" applyBorder="1" applyAlignment="1">
      <alignment horizontal="left"/>
    </xf>
    <xf numFmtId="38" fontId="2" fillId="17" borderId="1" xfId="0" applyNumberFormat="1" applyFont="1" applyFill="1" applyBorder="1" applyAlignment="1">
      <alignment horizontal="center" wrapText="1"/>
    </xf>
    <xf numFmtId="0" fontId="0" fillId="0" borderId="37" xfId="0" applyBorder="1" applyAlignment="1">
      <alignment horizontal="right"/>
    </xf>
    <xf numFmtId="0" fontId="2" fillId="24" borderId="38" xfId="0" applyFont="1" applyFill="1" applyBorder="1"/>
    <xf numFmtId="3" fontId="20" fillId="0" borderId="0" xfId="0" applyNumberFormat="1" applyFont="1" applyAlignment="1">
      <alignment horizontal="center"/>
    </xf>
    <xf numFmtId="164" fontId="0" fillId="0" borderId="19" xfId="0" applyNumberFormat="1" applyBorder="1"/>
    <xf numFmtId="0" fontId="7" fillId="0" borderId="0" xfId="0" applyFont="1"/>
    <xf numFmtId="0" fontId="7" fillId="16" borderId="1" xfId="0" applyFont="1" applyFill="1" applyBorder="1"/>
    <xf numFmtId="165" fontId="0" fillId="16" borderId="1" xfId="0" applyNumberFormat="1" applyFill="1" applyBorder="1"/>
    <xf numFmtId="1" fontId="2" fillId="25" borderId="1" xfId="0" applyNumberFormat="1" applyFont="1" applyFill="1" applyBorder="1" applyAlignment="1">
      <alignment horizontal="center" vertical="center"/>
    </xf>
    <xf numFmtId="0" fontId="21" fillId="0" borderId="1" xfId="0" applyFont="1" applyBorder="1" applyAlignment="1">
      <alignment horizontal="left" vertical="center" wrapText="1" indent="1" readingOrder="1"/>
    </xf>
    <xf numFmtId="9" fontId="21" fillId="0" borderId="1" xfId="0" applyNumberFormat="1" applyFont="1" applyBorder="1" applyAlignment="1">
      <alignment horizontal="left" vertical="center" wrapText="1" indent="1" readingOrder="1"/>
    </xf>
    <xf numFmtId="0" fontId="21" fillId="14" borderId="1" xfId="0" applyFont="1" applyFill="1" applyBorder="1" applyAlignment="1">
      <alignment horizontal="left" vertical="center" wrapText="1" indent="1" readingOrder="1"/>
    </xf>
    <xf numFmtId="0" fontId="7" fillId="15" borderId="1" xfId="0" applyFont="1" applyFill="1" applyBorder="1" applyAlignment="1">
      <alignment horizontal="left" indent="1"/>
    </xf>
    <xf numFmtId="0" fontId="0" fillId="0" borderId="1" xfId="0" applyBorder="1" applyAlignment="1">
      <alignment horizontal="left" indent="1"/>
    </xf>
    <xf numFmtId="0" fontId="0" fillId="15" borderId="1" xfId="0" applyFill="1" applyBorder="1" applyAlignment="1">
      <alignment horizontal="left" indent="1"/>
    </xf>
    <xf numFmtId="0" fontId="7" fillId="0" borderId="1" xfId="0" applyFont="1" applyBorder="1" applyAlignment="1">
      <alignment horizontal="left" indent="1"/>
    </xf>
    <xf numFmtId="0" fontId="0" fillId="3" borderId="1" xfId="0" applyFill="1" applyBorder="1" applyAlignment="1">
      <alignment horizontal="center" vertical="center" wrapText="1"/>
    </xf>
    <xf numFmtId="0" fontId="0" fillId="4" borderId="1" xfId="0" applyFill="1" applyBorder="1" applyAlignment="1">
      <alignment horizontal="center" vertical="center"/>
    </xf>
    <xf numFmtId="0" fontId="3" fillId="0" borderId="0" xfId="0" applyFont="1" applyAlignment="1">
      <alignment horizontal="center" wrapText="1"/>
    </xf>
    <xf numFmtId="0" fontId="0" fillId="4" borderId="1" xfId="0"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0" fillId="6" borderId="1" xfId="0" applyFill="1" applyBorder="1" applyAlignment="1">
      <alignment horizontal="center" vertical="center" wrapText="1"/>
    </xf>
    <xf numFmtId="0" fontId="0" fillId="8" borderId="1" xfId="0" applyFill="1" applyBorder="1" applyAlignment="1">
      <alignment horizontal="center" vertical="center" wrapText="1"/>
    </xf>
    <xf numFmtId="0" fontId="0" fillId="7" borderId="1" xfId="0" applyFill="1" applyBorder="1" applyAlignment="1">
      <alignment horizontal="center" vertical="center" wrapText="1"/>
    </xf>
    <xf numFmtId="0" fontId="0" fillId="9" borderId="1" xfId="0" applyFill="1" applyBorder="1" applyAlignment="1">
      <alignment horizontal="center" vertical="center"/>
    </xf>
    <xf numFmtId="0" fontId="9" fillId="0" borderId="17" xfId="0" applyFont="1" applyBorder="1" applyAlignment="1">
      <alignment horizontal="left"/>
    </xf>
    <xf numFmtId="0" fontId="9" fillId="0" borderId="18" xfId="0" applyFont="1" applyBorder="1" applyAlignment="1">
      <alignment horizontal="left"/>
    </xf>
    <xf numFmtId="0" fontId="9" fillId="0" borderId="19" xfId="0" applyFont="1" applyBorder="1" applyAlignment="1">
      <alignment horizontal="left"/>
    </xf>
    <xf numFmtId="0" fontId="9" fillId="0" borderId="0" xfId="0" applyFont="1" applyAlignment="1">
      <alignment horizontal="left"/>
    </xf>
    <xf numFmtId="0" fontId="2" fillId="17" borderId="17" xfId="0" applyFont="1" applyFill="1" applyBorder="1" applyAlignment="1">
      <alignment horizontal="center" vertical="center"/>
    </xf>
    <xf numFmtId="0" fontId="2" fillId="17" borderId="18" xfId="0" applyFont="1" applyFill="1" applyBorder="1" applyAlignment="1">
      <alignment horizontal="center" vertical="center"/>
    </xf>
    <xf numFmtId="0" fontId="2" fillId="17" borderId="19" xfId="0" applyFont="1" applyFill="1" applyBorder="1" applyAlignment="1">
      <alignment horizontal="center" vertical="center"/>
    </xf>
    <xf numFmtId="0" fontId="2" fillId="17" borderId="17" xfId="0" applyFont="1" applyFill="1" applyBorder="1" applyAlignment="1">
      <alignment horizontal="left"/>
    </xf>
    <xf numFmtId="0" fontId="2" fillId="17" borderId="19" xfId="0" applyFont="1" applyFill="1" applyBorder="1" applyAlignment="1">
      <alignment horizontal="left"/>
    </xf>
    <xf numFmtId="3" fontId="0" fillId="0" borderId="17" xfId="0" applyNumberFormat="1" applyBorder="1" applyAlignment="1">
      <alignment horizontal="center" wrapText="1"/>
    </xf>
    <xf numFmtId="3" fontId="0" fillId="0" borderId="19" xfId="0" applyNumberFormat="1" applyBorder="1" applyAlignment="1">
      <alignment horizontal="center" wrapText="1"/>
    </xf>
    <xf numFmtId="0" fontId="2" fillId="17" borderId="1" xfId="0" applyFont="1" applyFill="1" applyBorder="1" applyAlignment="1">
      <alignment horizontal="left" wrapText="1"/>
    </xf>
    <xf numFmtId="0" fontId="17" fillId="17" borderId="17" xfId="0" applyFont="1" applyFill="1" applyBorder="1" applyAlignment="1">
      <alignment horizontal="center"/>
    </xf>
    <xf numFmtId="0" fontId="17" fillId="17" borderId="19" xfId="0" applyFont="1" applyFill="1" applyBorder="1" applyAlignment="1">
      <alignment horizontal="center"/>
    </xf>
    <xf numFmtId="3" fontId="0" fillId="0" borderId="18" xfId="0" applyNumberFormat="1" applyBorder="1" applyAlignment="1">
      <alignment horizontal="center" wrapText="1"/>
    </xf>
    <xf numFmtId="3" fontId="0" fillId="0" borderId="1" xfId="0" applyNumberFormat="1" applyBorder="1" applyAlignment="1">
      <alignment horizontal="center" wrapText="1"/>
    </xf>
    <xf numFmtId="0" fontId="2" fillId="0" borderId="17" xfId="0" applyFont="1" applyBorder="1" applyAlignment="1">
      <alignment horizontal="center"/>
    </xf>
    <xf numFmtId="0" fontId="2" fillId="0" borderId="19" xfId="0" applyFont="1" applyBorder="1" applyAlignment="1">
      <alignment horizontal="center"/>
    </xf>
    <xf numFmtId="0" fontId="0" fillId="12" borderId="1" xfId="0" applyFill="1" applyBorder="1" applyAlignment="1">
      <alignment horizontal="left" vertical="center"/>
    </xf>
    <xf numFmtId="0" fontId="0" fillId="12" borderId="1" xfId="0" applyFill="1" applyBorder="1" applyAlignment="1">
      <alignment horizontal="center" vertical="center"/>
    </xf>
    <xf numFmtId="0" fontId="0" fillId="11" borderId="1" xfId="0" applyFill="1" applyBorder="1" applyAlignment="1">
      <alignment horizontal="left" vertical="center"/>
    </xf>
    <xf numFmtId="0" fontId="0" fillId="11" borderId="1" xfId="0" applyFill="1" applyBorder="1" applyAlignment="1">
      <alignment horizontal="center" vertical="center"/>
    </xf>
    <xf numFmtId="0" fontId="0" fillId="7" borderId="1" xfId="0" applyFill="1" applyBorder="1" applyAlignment="1">
      <alignment vertical="center"/>
    </xf>
    <xf numFmtId="0" fontId="0" fillId="7" borderId="1" xfId="0" applyFill="1" applyBorder="1" applyAlignment="1">
      <alignment horizontal="center" vertical="center"/>
    </xf>
    <xf numFmtId="0" fontId="0" fillId="6" borderId="1" xfId="0" applyFill="1" applyBorder="1" applyAlignment="1">
      <alignment vertical="center"/>
    </xf>
    <xf numFmtId="0" fontId="0" fillId="6" borderId="1" xfId="0" applyFill="1" applyBorder="1" applyAlignment="1">
      <alignment horizontal="center" vertical="center"/>
    </xf>
    <xf numFmtId="0" fontId="0" fillId="8" borderId="1" xfId="0" applyFill="1" applyBorder="1" applyAlignment="1">
      <alignment vertical="center"/>
    </xf>
    <xf numFmtId="0" fontId="0" fillId="8" borderId="1" xfId="0" applyFill="1" applyBorder="1" applyAlignment="1">
      <alignment horizontal="center" vertical="center"/>
    </xf>
    <xf numFmtId="0" fontId="0" fillId="27" borderId="1" xfId="0" applyFill="1" applyBorder="1" applyAlignment="1">
      <alignment vertical="center"/>
    </xf>
    <xf numFmtId="0" fontId="0" fillId="9" borderId="1" xfId="0" applyFill="1" applyBorder="1" applyAlignment="1">
      <alignment vertical="center"/>
    </xf>
    <xf numFmtId="0" fontId="0" fillId="0" borderId="9" xfId="0" applyBorder="1"/>
    <xf numFmtId="0" fontId="1" fillId="0" borderId="0" xfId="0" applyFont="1" applyAlignment="1">
      <alignment horizontal="left" vertical="center"/>
    </xf>
    <xf numFmtId="165" fontId="1" fillId="0" borderId="0" xfId="0" applyNumberFormat="1" applyFont="1" applyAlignment="1">
      <alignment horizontal="center" vertical="center" wrapText="1"/>
    </xf>
    <xf numFmtId="0" fontId="1" fillId="0" borderId="0" xfId="0" applyFont="1"/>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left" vertical="center"/>
    </xf>
    <xf numFmtId="0" fontId="28" fillId="0" borderId="20" xfId="0" applyFont="1" applyBorder="1" applyAlignment="1">
      <alignment horizontal="center" vertical="center"/>
    </xf>
    <xf numFmtId="0" fontId="28" fillId="0" borderId="25" xfId="0" applyFont="1" applyBorder="1" applyAlignment="1">
      <alignment horizontal="center" vertical="center"/>
    </xf>
    <xf numFmtId="165" fontId="28" fillId="0" borderId="20" xfId="0" applyNumberFormat="1" applyFont="1" applyBorder="1" applyAlignment="1">
      <alignment horizontal="center" vertical="center" wrapText="1"/>
    </xf>
    <xf numFmtId="165" fontId="28" fillId="0" borderId="24" xfId="0" applyNumberFormat="1" applyFont="1" applyBorder="1" applyAlignment="1">
      <alignment horizontal="center" vertical="center" wrapText="1"/>
    </xf>
    <xf numFmtId="165" fontId="28" fillId="0" borderId="25" xfId="0" applyNumberFormat="1" applyFont="1" applyBorder="1" applyAlignment="1">
      <alignment horizontal="center" vertical="center" wrapText="1"/>
    </xf>
    <xf numFmtId="165" fontId="28" fillId="10" borderId="4" xfId="0" applyNumberFormat="1" applyFont="1" applyFill="1" applyBorder="1" applyAlignment="1">
      <alignment horizontal="center" vertical="center" wrapText="1"/>
    </xf>
    <xf numFmtId="165" fontId="28" fillId="10" borderId="20" xfId="0" applyNumberFormat="1" applyFont="1" applyFill="1" applyBorder="1" applyAlignment="1">
      <alignment horizontal="center" vertical="center" wrapText="1"/>
    </xf>
    <xf numFmtId="0" fontId="28" fillId="20" borderId="5" xfId="0" applyFont="1" applyFill="1" applyBorder="1" applyAlignment="1">
      <alignment horizontal="center" vertical="center"/>
    </xf>
    <xf numFmtId="0" fontId="28" fillId="20" borderId="20" xfId="0" applyFont="1" applyFill="1" applyBorder="1" applyAlignment="1">
      <alignment horizontal="center" vertical="center"/>
    </xf>
    <xf numFmtId="0" fontId="28" fillId="16" borderId="28" xfId="0" applyFont="1" applyFill="1" applyBorder="1" applyAlignment="1">
      <alignment horizontal="center" vertical="center" wrapText="1"/>
    </xf>
    <xf numFmtId="0" fontId="28" fillId="0" borderId="26" xfId="0" applyFont="1" applyBorder="1" applyAlignment="1">
      <alignment horizontal="center" vertical="center" wrapText="1"/>
    </xf>
    <xf numFmtId="0" fontId="1" fillId="0" borderId="6" xfId="0" applyFont="1" applyBorder="1" applyAlignment="1">
      <alignment horizontal="center" vertical="center"/>
    </xf>
    <xf numFmtId="0" fontId="28" fillId="13" borderId="1" xfId="0" applyFont="1" applyFill="1" applyBorder="1" applyAlignment="1">
      <alignment horizontal="center" vertical="center" wrapText="1"/>
    </xf>
    <xf numFmtId="0" fontId="28" fillId="11" borderId="1" xfId="0" applyFont="1" applyFill="1" applyBorder="1" applyAlignment="1">
      <alignment horizontal="center" vertical="center" wrapText="1"/>
    </xf>
    <xf numFmtId="165" fontId="28" fillId="7" borderId="1" xfId="0" applyNumberFormat="1" applyFont="1" applyFill="1" applyBorder="1" applyAlignment="1">
      <alignment horizontal="center" vertical="center" wrapText="1"/>
    </xf>
    <xf numFmtId="165" fontId="28" fillId="6" borderId="1" xfId="0" applyNumberFormat="1" applyFont="1" applyFill="1" applyBorder="1" applyAlignment="1">
      <alignment horizontal="center" vertical="center" wrapText="1"/>
    </xf>
    <xf numFmtId="165" fontId="28" fillId="8" borderId="1" xfId="0" applyNumberFormat="1" applyFont="1" applyFill="1" applyBorder="1" applyAlignment="1">
      <alignment horizontal="center" vertical="center" wrapText="1"/>
    </xf>
    <xf numFmtId="165" fontId="28" fillId="9" borderId="1" xfId="0" applyNumberFormat="1" applyFont="1" applyFill="1" applyBorder="1" applyAlignment="1">
      <alignment horizontal="center" vertical="center" wrapText="1"/>
    </xf>
    <xf numFmtId="165" fontId="28" fillId="10" borderId="1" xfId="0" applyNumberFormat="1" applyFont="1" applyFill="1" applyBorder="1" applyAlignment="1">
      <alignment horizontal="center" vertical="center" wrapText="1"/>
    </xf>
    <xf numFmtId="165" fontId="28" fillId="10" borderId="17" xfId="0" applyNumberFormat="1" applyFont="1" applyFill="1" applyBorder="1" applyAlignment="1">
      <alignment horizontal="center" vertical="center" wrapText="1"/>
    </xf>
    <xf numFmtId="0" fontId="28" fillId="20" borderId="7" xfId="0" applyFont="1" applyFill="1" applyBorder="1" applyAlignment="1">
      <alignment horizontal="center" vertical="center"/>
    </xf>
    <xf numFmtId="0" fontId="28" fillId="20" borderId="17" xfId="0" applyFont="1" applyFill="1" applyBorder="1" applyAlignment="1">
      <alignment horizontal="center" vertical="center"/>
    </xf>
    <xf numFmtId="0" fontId="28" fillId="16" borderId="29" xfId="0" applyFont="1" applyFill="1" applyBorder="1" applyAlignment="1">
      <alignment horizontal="center" vertical="center" wrapText="1"/>
    </xf>
    <xf numFmtId="0" fontId="28" fillId="0" borderId="27" xfId="0" applyFont="1" applyBorder="1" applyAlignment="1">
      <alignment horizontal="center" vertical="center" wrapText="1"/>
    </xf>
    <xf numFmtId="0" fontId="28" fillId="0" borderId="8" xfId="0" applyFont="1" applyBorder="1" applyAlignment="1">
      <alignment horizontal="center"/>
    </xf>
    <xf numFmtId="0" fontId="28" fillId="0" borderId="9" xfId="0" applyFont="1" applyBorder="1"/>
    <xf numFmtId="0" fontId="28" fillId="13" borderId="9" xfId="0" quotePrefix="1" applyFont="1" applyFill="1" applyBorder="1" applyAlignment="1">
      <alignment horizontal="center" vertical="center"/>
    </xf>
    <xf numFmtId="0" fontId="28" fillId="11" borderId="9" xfId="0" quotePrefix="1" applyFont="1" applyFill="1" applyBorder="1" applyAlignment="1">
      <alignment horizontal="center" vertical="center"/>
    </xf>
    <xf numFmtId="0" fontId="28" fillId="7" borderId="13" xfId="0" applyFont="1" applyFill="1" applyBorder="1" applyAlignment="1">
      <alignment horizontal="center" vertical="center" wrapText="1"/>
    </xf>
    <xf numFmtId="165" fontId="28" fillId="7" borderId="13" xfId="0" applyNumberFormat="1"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8" borderId="13" xfId="0" applyFont="1" applyFill="1" applyBorder="1" applyAlignment="1">
      <alignment horizontal="center" vertical="center" wrapText="1"/>
    </xf>
    <xf numFmtId="0" fontId="28" fillId="9" borderId="13" xfId="0" applyFont="1" applyFill="1" applyBorder="1" applyAlignment="1">
      <alignment horizontal="center" vertical="center" wrapText="1"/>
    </xf>
    <xf numFmtId="165" fontId="28" fillId="10" borderId="9" xfId="0" applyNumberFormat="1" applyFont="1" applyFill="1" applyBorder="1" applyAlignment="1">
      <alignment horizontal="center" vertical="center" wrapText="1"/>
    </xf>
    <xf numFmtId="165" fontId="28" fillId="10" borderId="21" xfId="0" applyNumberFormat="1" applyFont="1" applyFill="1" applyBorder="1" applyAlignment="1">
      <alignment horizontal="center" vertical="center" wrapText="1"/>
    </xf>
    <xf numFmtId="165" fontId="28" fillId="20" borderId="8" xfId="0" applyNumberFormat="1" applyFont="1" applyFill="1" applyBorder="1" applyAlignment="1">
      <alignment horizontal="center" vertical="center"/>
    </xf>
    <xf numFmtId="165" fontId="28" fillId="20" borderId="21" xfId="0" applyNumberFormat="1" applyFont="1" applyFill="1" applyBorder="1" applyAlignment="1">
      <alignment horizontal="center" vertical="center"/>
    </xf>
    <xf numFmtId="0" fontId="28" fillId="16" borderId="29" xfId="0" applyFont="1" applyFill="1" applyBorder="1" applyAlignment="1">
      <alignment horizontal="center" vertical="center"/>
    </xf>
    <xf numFmtId="0" fontId="28" fillId="0" borderId="27" xfId="0" applyFont="1" applyBorder="1" applyAlignment="1">
      <alignment horizontal="center" vertical="center" wrapText="1"/>
    </xf>
    <xf numFmtId="0" fontId="28" fillId="0" borderId="15" xfId="0" applyFont="1" applyBorder="1" applyAlignment="1">
      <alignment horizontal="center"/>
    </xf>
    <xf numFmtId="0" fontId="28" fillId="0" borderId="16" xfId="0" applyFont="1" applyBorder="1" applyAlignment="1">
      <alignment horizontal="right"/>
    </xf>
    <xf numFmtId="164" fontId="28" fillId="13" borderId="4" xfId="0" quotePrefix="1" applyNumberFormat="1" applyFont="1" applyFill="1" applyBorder="1" applyAlignment="1">
      <alignment horizontal="center" vertical="center"/>
    </xf>
    <xf numFmtId="164" fontId="28" fillId="11" borderId="4" xfId="0" quotePrefix="1" applyNumberFormat="1" applyFont="1" applyFill="1" applyBorder="1" applyAlignment="1">
      <alignment horizontal="center" vertical="center"/>
    </xf>
    <xf numFmtId="164" fontId="28" fillId="7" borderId="4" xfId="0" applyNumberFormat="1" applyFont="1" applyFill="1" applyBorder="1" applyAlignment="1">
      <alignment horizontal="center" vertical="center" wrapText="1"/>
    </xf>
    <xf numFmtId="164" fontId="28" fillId="6" borderId="4" xfId="0" applyNumberFormat="1" applyFont="1" applyFill="1" applyBorder="1" applyAlignment="1">
      <alignment horizontal="center" vertical="center" wrapText="1"/>
    </xf>
    <xf numFmtId="164" fontId="28" fillId="8" borderId="4" xfId="0" applyNumberFormat="1" applyFont="1" applyFill="1" applyBorder="1" applyAlignment="1">
      <alignment horizontal="center" vertical="center" wrapText="1"/>
    </xf>
    <xf numFmtId="164" fontId="28" fillId="9" borderId="4" xfId="0" applyNumberFormat="1" applyFont="1" applyFill="1" applyBorder="1" applyAlignment="1">
      <alignment horizontal="center" vertical="center" wrapText="1"/>
    </xf>
    <xf numFmtId="3" fontId="28" fillId="10" borderId="4" xfId="0" applyNumberFormat="1" applyFont="1" applyFill="1" applyBorder="1" applyAlignment="1">
      <alignment horizontal="center" vertical="center" wrapText="1"/>
    </xf>
    <xf numFmtId="3" fontId="28" fillId="10" borderId="20" xfId="0" applyNumberFormat="1" applyFont="1" applyFill="1" applyBorder="1" applyAlignment="1">
      <alignment horizontal="center" vertical="center" wrapText="1"/>
    </xf>
    <xf numFmtId="3" fontId="28" fillId="20" borderId="5" xfId="0" applyNumberFormat="1" applyFont="1" applyFill="1" applyBorder="1" applyAlignment="1">
      <alignment horizontal="center" vertical="center" wrapText="1"/>
    </xf>
    <xf numFmtId="165" fontId="28" fillId="20" borderId="20" xfId="0" applyNumberFormat="1" applyFont="1" applyFill="1" applyBorder="1" applyAlignment="1">
      <alignment horizontal="center" vertical="center"/>
    </xf>
    <xf numFmtId="0" fontId="1" fillId="16" borderId="29" xfId="0" applyFont="1" applyFill="1" applyBorder="1"/>
    <xf numFmtId="0" fontId="28" fillId="0" borderId="27" xfId="0" applyFont="1" applyBorder="1"/>
    <xf numFmtId="0" fontId="1" fillId="0" borderId="11" xfId="0" applyFont="1" applyBorder="1" applyAlignment="1">
      <alignment horizontal="center"/>
    </xf>
    <xf numFmtId="0" fontId="30" fillId="0" borderId="12" xfId="0" applyFont="1" applyBorder="1" applyAlignment="1">
      <alignment horizontal="right"/>
    </xf>
    <xf numFmtId="9" fontId="30" fillId="13" borderId="12" xfId="0" applyNumberFormat="1" applyFont="1" applyFill="1" applyBorder="1" applyAlignment="1">
      <alignment horizontal="center"/>
    </xf>
    <xf numFmtId="9" fontId="30" fillId="11" borderId="12" xfId="0" applyNumberFormat="1" applyFont="1" applyFill="1" applyBorder="1" applyAlignment="1">
      <alignment horizontal="center"/>
    </xf>
    <xf numFmtId="9" fontId="31" fillId="7" borderId="12" xfId="3" applyNumberFormat="1" applyFont="1" applyFill="1" applyBorder="1" applyAlignment="1">
      <alignment horizontal="center" vertical="center" wrapText="1"/>
    </xf>
    <xf numFmtId="9" fontId="31" fillId="6" borderId="12" xfId="3" applyNumberFormat="1" applyFont="1" applyFill="1" applyBorder="1" applyAlignment="1">
      <alignment horizontal="center" vertical="center" wrapText="1"/>
    </xf>
    <xf numFmtId="9" fontId="31" fillId="8" borderId="12" xfId="3" applyNumberFormat="1" applyFont="1" applyFill="1" applyBorder="1" applyAlignment="1">
      <alignment horizontal="center" vertical="center" wrapText="1"/>
    </xf>
    <xf numFmtId="9" fontId="31" fillId="9" borderId="12" xfId="3" applyNumberFormat="1" applyFont="1" applyFill="1" applyBorder="1" applyAlignment="1">
      <alignment horizontal="center" vertical="center" wrapText="1"/>
    </xf>
    <xf numFmtId="9" fontId="30" fillId="10" borderId="12" xfId="3" applyNumberFormat="1" applyFont="1" applyFill="1" applyBorder="1" applyAlignment="1">
      <alignment horizontal="center" vertical="center" wrapText="1"/>
    </xf>
    <xf numFmtId="9" fontId="30" fillId="10" borderId="22" xfId="3" applyNumberFormat="1" applyFont="1" applyFill="1" applyBorder="1" applyAlignment="1">
      <alignment horizontal="center" vertical="center" wrapText="1"/>
    </xf>
    <xf numFmtId="9" fontId="30" fillId="20" borderId="11" xfId="3" applyNumberFormat="1" applyFont="1" applyFill="1" applyBorder="1" applyAlignment="1">
      <alignment horizontal="center" vertical="center" wrapText="1"/>
    </xf>
    <xf numFmtId="9" fontId="30" fillId="20" borderId="22" xfId="3" applyNumberFormat="1" applyFont="1" applyFill="1" applyBorder="1" applyAlignment="1">
      <alignment horizontal="center" vertical="center" wrapText="1"/>
    </xf>
    <xf numFmtId="0" fontId="1" fillId="0" borderId="14" xfId="0" applyFont="1" applyBorder="1" applyAlignment="1">
      <alignment horizontal="center"/>
    </xf>
    <xf numFmtId="0" fontId="1" fillId="0" borderId="10" xfId="0" applyFont="1" applyBorder="1" applyAlignment="1">
      <alignment horizontal="left" vertical="center"/>
    </xf>
    <xf numFmtId="0" fontId="1" fillId="13" borderId="10" xfId="0" applyFont="1" applyFill="1" applyBorder="1" applyAlignment="1">
      <alignment horizontal="center" vertical="center"/>
    </xf>
    <xf numFmtId="1" fontId="1" fillId="11" borderId="10" xfId="0" applyNumberFormat="1" applyFont="1" applyFill="1" applyBorder="1" applyAlignment="1">
      <alignment horizontal="center" vertical="center"/>
    </xf>
    <xf numFmtId="1" fontId="1" fillId="7" borderId="10" xfId="0" applyNumberFormat="1" applyFont="1" applyFill="1" applyBorder="1" applyAlignment="1">
      <alignment horizontal="center" vertical="center"/>
    </xf>
    <xf numFmtId="1" fontId="32" fillId="6" borderId="10" xfId="0" applyNumberFormat="1" applyFont="1" applyFill="1" applyBorder="1" applyAlignment="1">
      <alignment horizontal="center" vertical="center" wrapText="1"/>
    </xf>
    <xf numFmtId="1" fontId="32" fillId="8" borderId="10" xfId="0" applyNumberFormat="1" applyFont="1" applyFill="1" applyBorder="1" applyAlignment="1">
      <alignment horizontal="center" vertical="center" wrapText="1"/>
    </xf>
    <xf numFmtId="1" fontId="32" fillId="9" borderId="10" xfId="0" applyNumberFormat="1" applyFont="1" applyFill="1" applyBorder="1" applyAlignment="1">
      <alignment horizontal="center" vertical="center" wrapText="1"/>
    </xf>
    <xf numFmtId="1" fontId="32" fillId="10" borderId="10" xfId="0" applyNumberFormat="1" applyFont="1" applyFill="1" applyBorder="1" applyAlignment="1">
      <alignment horizontal="center" vertical="center" wrapText="1"/>
    </xf>
    <xf numFmtId="164" fontId="32" fillId="10" borderId="10" xfId="0" applyNumberFormat="1" applyFont="1" applyFill="1" applyBorder="1" applyAlignment="1">
      <alignment horizontal="center" vertical="center" wrapText="1"/>
    </xf>
    <xf numFmtId="1" fontId="32" fillId="10" borderId="23" xfId="0" applyNumberFormat="1" applyFont="1" applyFill="1" applyBorder="1" applyAlignment="1">
      <alignment horizontal="center" vertical="center" wrapText="1"/>
    </xf>
    <xf numFmtId="164" fontId="28" fillId="0" borderId="14" xfId="0" applyNumberFormat="1" applyFont="1" applyBorder="1" applyAlignment="1">
      <alignment horizontal="center" vertical="center"/>
    </xf>
    <xf numFmtId="1" fontId="28" fillId="20" borderId="23" xfId="0" applyNumberFormat="1" applyFont="1" applyFill="1" applyBorder="1" applyAlignment="1">
      <alignment horizontal="center" vertical="center"/>
    </xf>
    <xf numFmtId="1" fontId="28" fillId="16" borderId="29" xfId="0" applyNumberFormat="1" applyFont="1" applyFill="1" applyBorder="1" applyAlignment="1">
      <alignment horizontal="center" vertical="center"/>
    </xf>
    <xf numFmtId="1" fontId="28" fillId="0" borderId="27" xfId="0" applyNumberFormat="1"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left" vertical="center"/>
    </xf>
    <xf numFmtId="0" fontId="1" fillId="0" borderId="0" xfId="0" applyFont="1" applyAlignment="1">
      <alignment horizontal="center"/>
    </xf>
    <xf numFmtId="1" fontId="28" fillId="0" borderId="0" xfId="0" applyNumberFormat="1" applyFont="1" applyAlignment="1">
      <alignment horizontal="center"/>
    </xf>
    <xf numFmtId="0" fontId="33" fillId="22" borderId="2" xfId="0" applyFont="1" applyFill="1" applyBorder="1"/>
    <xf numFmtId="0" fontId="1" fillId="0" borderId="30" xfId="0" applyFont="1" applyBorder="1"/>
    <xf numFmtId="0" fontId="1" fillId="0" borderId="31" xfId="0" applyFont="1" applyBorder="1"/>
    <xf numFmtId="0" fontId="1" fillId="0" borderId="32" xfId="0" applyFont="1" applyBorder="1"/>
    <xf numFmtId="0" fontId="1" fillId="0" borderId="33" xfId="0" applyFont="1" applyBorder="1"/>
    <xf numFmtId="0" fontId="28" fillId="21" borderId="0" xfId="0" applyFont="1" applyFill="1"/>
    <xf numFmtId="0" fontId="1" fillId="21" borderId="32" xfId="0" applyFont="1" applyFill="1" applyBorder="1"/>
    <xf numFmtId="0" fontId="1" fillId="21" borderId="0" xfId="0" applyFont="1" applyFill="1"/>
    <xf numFmtId="0" fontId="1" fillId="21" borderId="33" xfId="0" applyFont="1" applyFill="1" applyBorder="1"/>
    <xf numFmtId="0" fontId="34" fillId="16" borderId="32" xfId="0" applyFont="1" applyFill="1" applyBorder="1"/>
    <xf numFmtId="0" fontId="1" fillId="16" borderId="0" xfId="0" applyFont="1" applyFill="1"/>
    <xf numFmtId="0" fontId="1" fillId="0" borderId="0" xfId="0" applyFont="1" applyAlignment="1">
      <alignment horizontal="right"/>
    </xf>
    <xf numFmtId="0" fontId="34" fillId="16" borderId="0" xfId="0" applyFont="1" applyFill="1"/>
    <xf numFmtId="0" fontId="34" fillId="0" borderId="0" xfId="0" applyFont="1"/>
    <xf numFmtId="0" fontId="34" fillId="0" borderId="32" xfId="0" applyFont="1" applyBorder="1"/>
    <xf numFmtId="0" fontId="1" fillId="0" borderId="0" xfId="0" applyFont="1" applyAlignment="1">
      <alignment horizontal="left"/>
    </xf>
    <xf numFmtId="0" fontId="1" fillId="0" borderId="34" xfId="0" applyFont="1" applyBorder="1"/>
    <xf numFmtId="0" fontId="1" fillId="0" borderId="35" xfId="0" applyFont="1" applyBorder="1"/>
    <xf numFmtId="0" fontId="34" fillId="0" borderId="35" xfId="0" applyFont="1" applyBorder="1"/>
    <xf numFmtId="0" fontId="1" fillId="0" borderId="36" xfId="0" applyFont="1" applyBorder="1"/>
    <xf numFmtId="0" fontId="35" fillId="0" borderId="0" xfId="0" applyFont="1" applyAlignment="1">
      <alignment horizontal="left" vertical="center"/>
    </xf>
    <xf numFmtId="0" fontId="0" fillId="0" borderId="0" xfId="0" applyAlignment="1">
      <alignment horizontal="left" wrapText="1"/>
    </xf>
    <xf numFmtId="0" fontId="0" fillId="17" borderId="0" xfId="0" applyFill="1" applyAlignment="1">
      <alignment horizontal="left" wrapText="1"/>
    </xf>
    <xf numFmtId="3" fontId="0" fillId="17" borderId="0" xfId="0" applyNumberFormat="1" applyFill="1"/>
    <xf numFmtId="0" fontId="0" fillId="17" borderId="0" xfId="0" applyFill="1"/>
    <xf numFmtId="0" fontId="0" fillId="17" borderId="0" xfId="0" applyFill="1" applyAlignment="1">
      <alignment horizontal="center"/>
    </xf>
    <xf numFmtId="0" fontId="0" fillId="0" borderId="0" xfId="0" applyAlignment="1">
      <alignment horizontal="left" vertical="top" wrapText="1"/>
    </xf>
    <xf numFmtId="0" fontId="0" fillId="0" borderId="0" xfId="0" applyAlignment="1">
      <alignment vertical="top"/>
    </xf>
    <xf numFmtId="0" fontId="36" fillId="0" borderId="0" xfId="0" applyFont="1"/>
    <xf numFmtId="0" fontId="0" fillId="0" borderId="0" xfId="0" applyBorder="1"/>
    <xf numFmtId="0" fontId="0" fillId="0" borderId="0" xfId="0" applyBorder="1" applyAlignment="1">
      <alignment horizontal="center"/>
    </xf>
    <xf numFmtId="38" fontId="0" fillId="0" borderId="0" xfId="0" applyNumberFormat="1" applyBorder="1"/>
    <xf numFmtId="9" fontId="0" fillId="0" borderId="0" xfId="1" applyFont="1" applyBorder="1"/>
    <xf numFmtId="164" fontId="0" fillId="0" borderId="0" xfId="0" applyNumberFormat="1" applyBorder="1"/>
    <xf numFmtId="0" fontId="0" fillId="18" borderId="1" xfId="0" applyFill="1" applyBorder="1"/>
    <xf numFmtId="6" fontId="0" fillId="0" borderId="1" xfId="0" applyNumberFormat="1" applyFill="1" applyBorder="1"/>
    <xf numFmtId="0" fontId="0" fillId="17" borderId="0" xfId="0" applyFill="1" applyAlignment="1">
      <alignment horizontal="left" vertical="top" wrapText="1"/>
    </xf>
    <xf numFmtId="0" fontId="0" fillId="0" borderId="0" xfId="0" quotePrefix="1" applyAlignment="1">
      <alignment horizontal="left" vertical="top" wrapText="1"/>
    </xf>
    <xf numFmtId="0" fontId="0" fillId="0" borderId="0" xfId="0" quotePrefix="1"/>
    <xf numFmtId="0" fontId="0" fillId="0" borderId="0" xfId="0" quotePrefix="1" applyAlignment="1">
      <alignment wrapText="1"/>
    </xf>
  </cellXfs>
  <cellStyles count="5">
    <cellStyle name="Comma" xfId="2" builtinId="3"/>
    <cellStyle name="Currency" xfId="4" builtinId="4"/>
    <cellStyle name="Explanatory Text" xfId="3" builtinId="53"/>
    <cellStyle name="Normal" xfId="0" builtinId="0"/>
    <cellStyle name="Percent" xfId="1" builtinId="5"/>
  </cellStyles>
  <dxfs count="0"/>
  <tableStyles count="0" defaultTableStyle="TableStyleMedium2" defaultPivotStyle="PivotStyleLight16"/>
  <colors>
    <mruColors>
      <color rgb="FFCC99FF"/>
      <color rgb="FF99FF99"/>
      <color rgb="FF0066FF"/>
      <color rgb="FF99CCFF"/>
      <color rgb="FFF2DDDC"/>
      <color rgb="FFCCFF99"/>
      <color rgb="FFCCFFCC"/>
      <color rgb="FF01AF50"/>
      <color rgb="FF3EBC3E"/>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Evaluation Criteria Weighting (Points)</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911450382549915"/>
          <c:y val="9.8138580135110232E-2"/>
          <c:w val="0.49047869593336607"/>
          <c:h val="0.87466727675989653"/>
        </c:manualLayout>
      </c:layout>
      <c:pieChart>
        <c:varyColors val="1"/>
        <c:ser>
          <c:idx val="0"/>
          <c:order val="0"/>
          <c:dPt>
            <c:idx val="0"/>
            <c:bubble3D val="0"/>
            <c:spPr>
              <a:solidFill>
                <a:srgbClr val="01AF50"/>
              </a:solidFill>
              <a:ln w="19050">
                <a:solidFill>
                  <a:schemeClr val="lt1"/>
                </a:solidFill>
              </a:ln>
              <a:effectLst/>
            </c:spPr>
            <c:extLst>
              <c:ext xmlns:c16="http://schemas.microsoft.com/office/drawing/2014/chart" uri="{C3380CC4-5D6E-409C-BE32-E72D297353CC}">
                <c16:uniqueId val="{00000001-0D70-4DBC-910B-3F84800F9B31}"/>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5-0D70-4DBC-910B-3F84800F9B31}"/>
              </c:ext>
            </c:extLst>
          </c:dPt>
          <c:dPt>
            <c:idx val="2"/>
            <c:bubble3D val="0"/>
            <c:spPr>
              <a:solidFill>
                <a:srgbClr val="CC99FF"/>
              </a:solidFill>
              <a:ln w="19050">
                <a:solidFill>
                  <a:schemeClr val="lt1"/>
                </a:solidFill>
              </a:ln>
              <a:effectLst/>
            </c:spPr>
            <c:extLst>
              <c:ext xmlns:c16="http://schemas.microsoft.com/office/drawing/2014/chart" uri="{C3380CC4-5D6E-409C-BE32-E72D297353CC}">
                <c16:uniqueId val="{00000002-0D70-4DBC-910B-3F84800F9B31}"/>
              </c:ext>
            </c:extLst>
          </c:dPt>
          <c:dPt>
            <c:idx val="3"/>
            <c:bubble3D val="0"/>
            <c:spPr>
              <a:solidFill>
                <a:srgbClr val="CCFF99"/>
              </a:solidFill>
              <a:ln w="19050">
                <a:solidFill>
                  <a:schemeClr val="lt1"/>
                </a:solidFill>
              </a:ln>
              <a:effectLst/>
            </c:spPr>
            <c:extLst>
              <c:ext xmlns:c16="http://schemas.microsoft.com/office/drawing/2014/chart" uri="{C3380CC4-5D6E-409C-BE32-E72D297353CC}">
                <c16:uniqueId val="{00000003-0D70-4DBC-910B-3F84800F9B31}"/>
              </c:ext>
            </c:extLst>
          </c:dPt>
          <c:dPt>
            <c:idx val="4"/>
            <c:bubble3D val="0"/>
            <c:spPr>
              <a:solidFill>
                <a:srgbClr val="F2DDDC"/>
              </a:solidFill>
              <a:ln w="19050">
                <a:solidFill>
                  <a:schemeClr val="lt1"/>
                </a:solidFill>
              </a:ln>
              <a:effectLst/>
            </c:spPr>
            <c:extLst>
              <c:ext xmlns:c16="http://schemas.microsoft.com/office/drawing/2014/chart" uri="{C3380CC4-5D6E-409C-BE32-E72D297353CC}">
                <c16:uniqueId val="{00000006-0D70-4DBC-910B-3F84800F9B31}"/>
              </c:ext>
            </c:extLst>
          </c:dPt>
          <c:dPt>
            <c:idx val="5"/>
            <c:bubble3D val="0"/>
            <c:spPr>
              <a:solidFill>
                <a:srgbClr val="00B0F0"/>
              </a:solidFill>
              <a:ln w="19050">
                <a:solidFill>
                  <a:schemeClr val="lt1"/>
                </a:solidFill>
              </a:ln>
              <a:effectLst/>
            </c:spPr>
            <c:extLst>
              <c:ext xmlns:c16="http://schemas.microsoft.com/office/drawing/2014/chart" uri="{C3380CC4-5D6E-409C-BE32-E72D297353CC}">
                <c16:uniqueId val="{00000004-0D70-4DBC-910B-3F84800F9B31}"/>
              </c:ext>
            </c:extLst>
          </c:dPt>
          <c:dLbls>
            <c:dLbl>
              <c:idx val="0"/>
              <c:layout>
                <c:manualLayout>
                  <c:x val="-0.16408271625335014"/>
                  <c:y val="0.1728521222982720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D70-4DBC-910B-3F84800F9B31}"/>
                </c:ext>
              </c:extLst>
            </c:dLbl>
            <c:dLbl>
              <c:idx val="2"/>
              <c:layout>
                <c:manualLayout>
                  <c:x val="3.0384682437172166E-2"/>
                  <c:y val="-0.1647457627118644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D70-4DBC-910B-3F84800F9B31}"/>
                </c:ext>
              </c:extLst>
            </c:dLbl>
            <c:dLbl>
              <c:idx val="3"/>
              <c:layout>
                <c:manualLayout>
                  <c:x val="0.13467106894023703"/>
                  <c:y val="-9.081695296562505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D70-4DBC-910B-3F84800F9B31}"/>
                </c:ext>
              </c:extLst>
            </c:dLbl>
            <c:dLbl>
              <c:idx val="5"/>
              <c:layout>
                <c:manualLayout>
                  <c:x val="6.7654593343019973E-2"/>
                  <c:y val="0.1733257071679599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0054762804513594"/>
                      <c:h val="0.13549636803874093"/>
                    </c:manualLayout>
                  </c15:layout>
                </c:ext>
                <c:ext xmlns:c16="http://schemas.microsoft.com/office/drawing/2014/chart" uri="{C3380CC4-5D6E-409C-BE32-E72D297353CC}">
                  <c16:uniqueId val="{00000004-0D70-4DBC-910B-3F84800F9B3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'Eval Crit List'!$A$16:$A$21</c:f>
              <c:strCache>
                <c:ptCount val="6"/>
                <c:pt idx="0">
                  <c:v>GHG Emission Reduction Amount</c:v>
                </c:pt>
                <c:pt idx="1">
                  <c:v>Cost-Effectiveness</c:v>
                </c:pt>
                <c:pt idx="2">
                  <c:v>Equity Co-Benefit</c:v>
                </c:pt>
                <c:pt idx="3">
                  <c:v>Health Co-Benefit</c:v>
                </c:pt>
                <c:pt idx="4">
                  <c:v>Jobs and Economic Prosperity Co-Benefit</c:v>
                </c:pt>
                <c:pt idx="5">
                  <c:v>Risk and Uncertainty</c:v>
                </c:pt>
              </c:strCache>
            </c:strRef>
          </c:cat>
          <c:val>
            <c:numRef>
              <c:f>'Eval Crit List'!$C$16:$C$21</c:f>
              <c:numCache>
                <c:formatCode>General</c:formatCode>
                <c:ptCount val="6"/>
                <c:pt idx="0">
                  <c:v>29</c:v>
                </c:pt>
                <c:pt idx="1">
                  <c:v>15</c:v>
                </c:pt>
                <c:pt idx="2">
                  <c:v>16</c:v>
                </c:pt>
                <c:pt idx="3">
                  <c:v>15</c:v>
                </c:pt>
                <c:pt idx="4">
                  <c:v>14</c:v>
                </c:pt>
                <c:pt idx="5">
                  <c:v>11</c:v>
                </c:pt>
              </c:numCache>
            </c:numRef>
          </c:val>
          <c:extLst>
            <c:ext xmlns:c16="http://schemas.microsoft.com/office/drawing/2014/chart" uri="{C3380CC4-5D6E-409C-BE32-E72D297353CC}">
              <c16:uniqueId val="{00000000-0D70-4DBC-910B-3F84800F9B3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Cumulative GHG Emission Reductions (Millions of MTCO2)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FF00"/>
              </a:solidFill>
              <a:ln>
                <a:noFill/>
              </a:ln>
              <a:effectLst/>
            </c:spPr>
            <c:extLst>
              <c:ext xmlns:c16="http://schemas.microsoft.com/office/drawing/2014/chart" uri="{C3380CC4-5D6E-409C-BE32-E72D297353CC}">
                <c16:uniqueId val="{00000004-E43A-4AF2-978B-FB62CEA430B8}"/>
              </c:ext>
            </c:extLst>
          </c:dPt>
          <c:dPt>
            <c:idx val="3"/>
            <c:invertIfNegative val="0"/>
            <c:bubble3D val="0"/>
            <c:spPr>
              <a:solidFill>
                <a:srgbClr val="00FF00"/>
              </a:solidFill>
              <a:ln>
                <a:noFill/>
              </a:ln>
              <a:effectLst/>
            </c:spPr>
            <c:extLst>
              <c:ext xmlns:c16="http://schemas.microsoft.com/office/drawing/2014/chart" uri="{C3380CC4-5D6E-409C-BE32-E72D297353CC}">
                <c16:uniqueId val="{00000003-E43A-4AF2-978B-FB62CEA430B8}"/>
              </c:ext>
            </c:extLst>
          </c:dPt>
          <c:dPt>
            <c:idx val="8"/>
            <c:invertIfNegative val="0"/>
            <c:bubble3D val="0"/>
            <c:spPr>
              <a:solidFill>
                <a:srgbClr val="00FF00"/>
              </a:solidFill>
              <a:ln>
                <a:noFill/>
              </a:ln>
              <a:effectLst/>
            </c:spPr>
            <c:extLst>
              <c:ext xmlns:c16="http://schemas.microsoft.com/office/drawing/2014/chart" uri="{C3380CC4-5D6E-409C-BE32-E72D297353CC}">
                <c16:uniqueId val="{00000002-E43A-4AF2-978B-FB62CEA430B8}"/>
              </c:ext>
            </c:extLst>
          </c:dPt>
          <c:dPt>
            <c:idx val="14"/>
            <c:invertIfNegative val="0"/>
            <c:bubble3D val="0"/>
            <c:spPr>
              <a:solidFill>
                <a:srgbClr val="00FF00"/>
              </a:solidFill>
              <a:ln>
                <a:noFill/>
              </a:ln>
              <a:effectLst/>
            </c:spPr>
            <c:extLst>
              <c:ext xmlns:c16="http://schemas.microsoft.com/office/drawing/2014/chart" uri="{C3380CC4-5D6E-409C-BE32-E72D297353CC}">
                <c16:uniqueId val="{00000001-E43A-4AF2-978B-FB62CEA430B8}"/>
              </c:ext>
            </c:extLst>
          </c:dPt>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'GHG Reduction Ranking'!$B$4:$B$28</c:f>
              <c:strCache>
                <c:ptCount val="25"/>
                <c:pt idx="0">
                  <c:v>RNG Full Potential by 2050</c:v>
                </c:pt>
                <c:pt idx="1">
                  <c:v>Wz in Existing Com by 2040</c:v>
                </c:pt>
                <c:pt idx="2">
                  <c:v>Wz in Existing Res by 2040</c:v>
                </c:pt>
                <c:pt idx="3">
                  <c:v>Ind RH2 70% by 2050</c:v>
                </c:pt>
                <c:pt idx="4">
                  <c:v>Non-CPP Ind EE 50% by 2050</c:v>
                </c:pt>
                <c:pt idx="5">
                  <c:v>MD/HD Zero Emission Plan</c:v>
                </c:pt>
                <c:pt idx="6">
                  <c:v>Com Code Reduction 60% by 2030</c:v>
                </c:pt>
                <c:pt idx="7">
                  <c:v>Res Code Reduction 60% by 2030</c:v>
                </c:pt>
                <c:pt idx="8">
                  <c:v>RH2 Injection 15% by 2035</c:v>
                </c:pt>
                <c:pt idx="9">
                  <c:v>Increase Amtrak Ridership</c:v>
                </c:pt>
                <c:pt idx="10">
                  <c:v>Carshare Increases by 2035</c:v>
                </c:pt>
                <c:pt idx="11">
                  <c:v>Existing Res buildings 100% HPWH by 2043</c:v>
                </c:pt>
                <c:pt idx="12">
                  <c:v>100% Elec HP &amp; WH in New Res by 2025</c:v>
                </c:pt>
                <c:pt idx="13">
                  <c:v>10% Micro-mobility by 2035</c:v>
                </c:pt>
                <c:pt idx="14">
                  <c:v>Home Fuel Cells 5% by 2030</c:v>
                </c:pt>
                <c:pt idx="15">
                  <c:v>Existing Com buildings 100% HP by 2043</c:v>
                </c:pt>
                <c:pt idx="16">
                  <c:v>Existing Res buildings 100% HP by 2043</c:v>
                </c:pt>
                <c:pt idx="17">
                  <c:v>Food Waste Program</c:v>
                </c:pt>
                <c:pt idx="18">
                  <c:v>Water Systems EE 20% by 2035</c:v>
                </c:pt>
                <c:pt idx="19">
                  <c:v>Congestion Pricing</c:v>
                </c:pt>
                <c:pt idx="20">
                  <c:v>Reduced Res Floor Area</c:v>
                </c:pt>
                <c:pt idx="21">
                  <c:v>Higher Urban Res Density</c:v>
                </c:pt>
                <c:pt idx="22">
                  <c:v>100% Elec HP &amp; 50% WH in New Com by 2025</c:v>
                </c:pt>
                <c:pt idx="23">
                  <c:v>Existing Com buildings 100% HPWH by 2043</c:v>
                </c:pt>
                <c:pt idx="24">
                  <c:v>10% Mode Shift MD to LD</c:v>
                </c:pt>
              </c:strCache>
            </c:strRef>
          </c:cat>
          <c:val>
            <c:numRef>
              <c:f>'GHG Reduction Ranking'!$C$4:$C$28</c:f>
              <c:numCache>
                <c:formatCode>#,##0.000_);[Red]\(#,##0.000\)</c:formatCode>
                <c:ptCount val="25"/>
                <c:pt idx="0">
                  <c:v>22.617000000000001</c:v>
                </c:pt>
                <c:pt idx="1">
                  <c:v>21.128</c:v>
                </c:pt>
                <c:pt idx="2">
                  <c:v>19.577999999999999</c:v>
                </c:pt>
                <c:pt idx="3">
                  <c:v>18.863</c:v>
                </c:pt>
                <c:pt idx="4">
                  <c:v>13.621</c:v>
                </c:pt>
                <c:pt idx="5">
                  <c:v>12.337</c:v>
                </c:pt>
                <c:pt idx="6">
                  <c:v>11.750999999999999</c:v>
                </c:pt>
                <c:pt idx="7">
                  <c:v>8.0440000000000005</c:v>
                </c:pt>
                <c:pt idx="8">
                  <c:v>6.7629999999999999</c:v>
                </c:pt>
                <c:pt idx="9">
                  <c:v>5.4880000000000004</c:v>
                </c:pt>
                <c:pt idx="10">
                  <c:v>5.0339999999999998</c:v>
                </c:pt>
                <c:pt idx="11">
                  <c:v>4.47</c:v>
                </c:pt>
                <c:pt idx="12">
                  <c:v>4.2690000000000001</c:v>
                </c:pt>
                <c:pt idx="13">
                  <c:v>3.6070000000000002</c:v>
                </c:pt>
                <c:pt idx="14">
                  <c:v>3.4089999999999998</c:v>
                </c:pt>
                <c:pt idx="15">
                  <c:v>2.8130000000000002</c:v>
                </c:pt>
                <c:pt idx="16">
                  <c:v>2.74</c:v>
                </c:pt>
                <c:pt idx="17">
                  <c:v>2.5720000000000001</c:v>
                </c:pt>
                <c:pt idx="18">
                  <c:v>2.286</c:v>
                </c:pt>
                <c:pt idx="19">
                  <c:v>2.073</c:v>
                </c:pt>
                <c:pt idx="20">
                  <c:v>1.718</c:v>
                </c:pt>
                <c:pt idx="21">
                  <c:v>1.3149999999999999</c:v>
                </c:pt>
                <c:pt idx="22">
                  <c:v>1.123</c:v>
                </c:pt>
                <c:pt idx="23">
                  <c:v>0.61699999999999999</c:v>
                </c:pt>
                <c:pt idx="24">
                  <c:v>0.58799999999999997</c:v>
                </c:pt>
              </c:numCache>
            </c:numRef>
          </c:val>
          <c:extLst>
            <c:ext xmlns:c16="http://schemas.microsoft.com/office/drawing/2014/chart" uri="{C3380CC4-5D6E-409C-BE32-E72D297353CC}">
              <c16:uniqueId val="{00000000-E43A-4AF2-978B-FB62CEA430B8}"/>
            </c:ext>
          </c:extLst>
        </c:ser>
        <c:dLbls>
          <c:showLegendKey val="0"/>
          <c:showVal val="0"/>
          <c:showCatName val="0"/>
          <c:showSerName val="0"/>
          <c:showPercent val="0"/>
          <c:showBubbleSize val="0"/>
        </c:dLbls>
        <c:gapWidth val="219"/>
        <c:overlap val="-27"/>
        <c:axId val="678914912"/>
        <c:axId val="678915328"/>
      </c:barChart>
      <c:catAx>
        <c:axId val="67891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915328"/>
        <c:crosses val="autoZero"/>
        <c:auto val="1"/>
        <c:lblAlgn val="ctr"/>
        <c:lblOffset val="100"/>
        <c:noMultiLvlLbl val="0"/>
      </c:catAx>
      <c:valAx>
        <c:axId val="678915328"/>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MTCO2 Reduced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9149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Cost-Effectiveness </a:t>
            </a:r>
            <a:r>
              <a:rPr lang="en-US" sz="1600" b="1" baseline="0"/>
              <a:t>(MAC) Ranking</a:t>
            </a:r>
          </a:p>
          <a:p>
            <a:pPr>
              <a:defRPr/>
            </a:pPr>
            <a:r>
              <a:rPr lang="en-US" sz="1600" b="1" baseline="0"/>
              <a:t>($/MTCO2)</a:t>
            </a:r>
            <a:endParaRPr lang="en-US" sz="16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5296878606786526E-2"/>
          <c:y val="7.7853286322363421E-2"/>
          <c:w val="0.92275958176237738"/>
          <c:h val="0.6585823140661966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 Ranking'!$B$4:$B$28</c:f>
              <c:strCache>
                <c:ptCount val="25"/>
                <c:pt idx="0">
                  <c:v>Higher Urban Res Density</c:v>
                </c:pt>
                <c:pt idx="1">
                  <c:v>Food Waste Program</c:v>
                </c:pt>
                <c:pt idx="2">
                  <c:v>Reduced Res Floor Area</c:v>
                </c:pt>
                <c:pt idx="3">
                  <c:v>10% Mode Shift MD to LD</c:v>
                </c:pt>
                <c:pt idx="4">
                  <c:v>MD/HD Zero Emission Plan</c:v>
                </c:pt>
                <c:pt idx="5">
                  <c:v>10% Micro-mobility by 2035</c:v>
                </c:pt>
                <c:pt idx="6">
                  <c:v>Increase Amtrak Ridership</c:v>
                </c:pt>
                <c:pt idx="7">
                  <c:v>Carshare Increases by 2035</c:v>
                </c:pt>
                <c:pt idx="8">
                  <c:v>Congestion Pricing</c:v>
                </c:pt>
                <c:pt idx="9">
                  <c:v>Non-CPP Ind EE 50% by 2050</c:v>
                </c:pt>
                <c:pt idx="10">
                  <c:v>Res Code Reduction 60% by 2030</c:v>
                </c:pt>
                <c:pt idx="11">
                  <c:v>Existing Res buildings 100% HPWH by 2043</c:v>
                </c:pt>
                <c:pt idx="12">
                  <c:v>Existing Com buildings 100% HP by 2043</c:v>
                </c:pt>
                <c:pt idx="13">
                  <c:v>Home Fuel Cells 5% by 2030</c:v>
                </c:pt>
                <c:pt idx="14">
                  <c:v>Water Systems EE 20% by 2035</c:v>
                </c:pt>
                <c:pt idx="15">
                  <c:v>Ind RH2 70% by 2050</c:v>
                </c:pt>
                <c:pt idx="16">
                  <c:v>RH2 Injection 15% by 2035</c:v>
                </c:pt>
                <c:pt idx="17">
                  <c:v>RNG Full Potential by 2050</c:v>
                </c:pt>
                <c:pt idx="18">
                  <c:v>100% Elec HP &amp; WH in New Res by 2025</c:v>
                </c:pt>
                <c:pt idx="19">
                  <c:v>Com Code Reduction 60% by 2030</c:v>
                </c:pt>
                <c:pt idx="20">
                  <c:v>100% Elec HP &amp; 50% WH in New Com by 2025</c:v>
                </c:pt>
                <c:pt idx="21">
                  <c:v>Wz in Existing Com by 2040</c:v>
                </c:pt>
                <c:pt idx="22">
                  <c:v>Wz in Existing Res by 2040</c:v>
                </c:pt>
                <c:pt idx="23">
                  <c:v>Existing Com buildings 100% HPWH by 2043</c:v>
                </c:pt>
                <c:pt idx="24">
                  <c:v>Existing Res buildings 100% HP by 2043</c:v>
                </c:pt>
              </c:strCache>
            </c:strRef>
          </c:cat>
          <c:val>
            <c:numRef>
              <c:f>'C-E Ranking'!$C$4:$C$28</c:f>
              <c:numCache>
                <c:formatCode>"$"#,##0_);[Red]\("$"#,##0\)</c:formatCode>
                <c:ptCount val="25"/>
                <c:pt idx="0">
                  <c:v>-15898.511732319392</c:v>
                </c:pt>
                <c:pt idx="1">
                  <c:v>-9393</c:v>
                </c:pt>
                <c:pt idx="2">
                  <c:v>-4261.3020407450522</c:v>
                </c:pt>
                <c:pt idx="3">
                  <c:v>-1355.6587329931972</c:v>
                </c:pt>
                <c:pt idx="4">
                  <c:v>-843.9458075707222</c:v>
                </c:pt>
                <c:pt idx="5">
                  <c:v>-805.23519406709181</c:v>
                </c:pt>
                <c:pt idx="6">
                  <c:v>-531.41356377551017</c:v>
                </c:pt>
                <c:pt idx="7">
                  <c:v>-379.57311620977356</c:v>
                </c:pt>
                <c:pt idx="8">
                  <c:v>-303.2991490593343</c:v>
                </c:pt>
                <c:pt idx="9">
                  <c:v>-115.31074678804787</c:v>
                </c:pt>
                <c:pt idx="10">
                  <c:v>-62.072545499751371</c:v>
                </c:pt>
                <c:pt idx="11">
                  <c:v>-56.809596420581656</c:v>
                </c:pt>
                <c:pt idx="12">
                  <c:v>-49.928223960184859</c:v>
                </c:pt>
                <c:pt idx="13">
                  <c:v>-20.508572308594896</c:v>
                </c:pt>
                <c:pt idx="14">
                  <c:v>0.73046281714785655</c:v>
                </c:pt>
                <c:pt idx="15">
                  <c:v>10.548478343847744</c:v>
                </c:pt>
                <c:pt idx="16">
                  <c:v>67.37539760461334</c:v>
                </c:pt>
                <c:pt idx="17">
                  <c:v>71.996275544944069</c:v>
                </c:pt>
                <c:pt idx="18">
                  <c:v>146.08912157413914</c:v>
                </c:pt>
                <c:pt idx="19">
                  <c:v>200.24897021530083</c:v>
                </c:pt>
                <c:pt idx="20">
                  <c:v>235.61305181838685</c:v>
                </c:pt>
                <c:pt idx="21">
                  <c:v>449.31254974441498</c:v>
                </c:pt>
                <c:pt idx="22">
                  <c:v>712.55024512207581</c:v>
                </c:pt>
                <c:pt idx="23">
                  <c:v>1132.8828330632091</c:v>
                </c:pt>
                <c:pt idx="24">
                  <c:v>1346.8505653284672</c:v>
                </c:pt>
              </c:numCache>
            </c:numRef>
          </c:val>
          <c:extLst>
            <c:ext xmlns:c16="http://schemas.microsoft.com/office/drawing/2014/chart" uri="{C3380CC4-5D6E-409C-BE32-E72D297353CC}">
              <c16:uniqueId val="{00000000-C7F6-42C5-850A-FD725B517949}"/>
            </c:ext>
          </c:extLst>
        </c:ser>
        <c:dLbls>
          <c:showLegendKey val="0"/>
          <c:showVal val="0"/>
          <c:showCatName val="0"/>
          <c:showSerName val="0"/>
          <c:showPercent val="0"/>
          <c:showBubbleSize val="0"/>
        </c:dLbls>
        <c:gapWidth val="219"/>
        <c:overlap val="-27"/>
        <c:axId val="1127794239"/>
        <c:axId val="1127791327"/>
      </c:barChart>
      <c:catAx>
        <c:axId val="112779423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7791327"/>
        <c:crosses val="autoZero"/>
        <c:auto val="1"/>
        <c:lblAlgn val="ctr"/>
        <c:lblOffset val="100"/>
        <c:noMultiLvlLbl val="0"/>
      </c:catAx>
      <c:valAx>
        <c:axId val="11277913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$/MTCO2</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77942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Evaluation Criteria</a:t>
            </a:r>
            <a:r>
              <a:rPr lang="en-US" sz="1600" b="1" baseline="0"/>
              <a:t> </a:t>
            </a:r>
            <a:r>
              <a:rPr lang="en-US" sz="1600" b="1"/>
              <a:t>Score Ranking</a:t>
            </a:r>
          </a:p>
          <a:p>
            <a:pPr>
              <a:defRPr/>
            </a:pPr>
            <a:r>
              <a:rPr lang="en-US" sz="1600" b="1"/>
              <a:t>(Out of 100 Points)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6"/>
            <c:invertIfNegative val="0"/>
            <c:bubble3D val="0"/>
            <c:spPr>
              <a:solidFill>
                <a:srgbClr val="00FF00"/>
              </a:solidFill>
              <a:ln>
                <a:noFill/>
              </a:ln>
              <a:effectLst/>
            </c:spPr>
            <c:extLst>
              <c:ext xmlns:c16="http://schemas.microsoft.com/office/drawing/2014/chart" uri="{C3380CC4-5D6E-409C-BE32-E72D297353CC}">
                <c16:uniqueId val="{00000006-A460-43EE-A3EE-AE1320B7E93A}"/>
              </c:ext>
            </c:extLst>
          </c:dPt>
          <c:dPt>
            <c:idx val="7"/>
            <c:invertIfNegative val="0"/>
            <c:bubble3D val="0"/>
            <c:spPr>
              <a:solidFill>
                <a:srgbClr val="00FF00"/>
              </a:solidFill>
              <a:ln>
                <a:noFill/>
              </a:ln>
              <a:effectLst/>
            </c:spPr>
            <c:extLst>
              <c:ext xmlns:c16="http://schemas.microsoft.com/office/drawing/2014/chart" uri="{C3380CC4-5D6E-409C-BE32-E72D297353CC}">
                <c16:uniqueId val="{00000005-A460-43EE-A3EE-AE1320B7E93A}"/>
              </c:ext>
            </c:extLst>
          </c:dPt>
          <c:dPt>
            <c:idx val="17"/>
            <c:invertIfNegative val="0"/>
            <c:bubble3D val="0"/>
            <c:spPr>
              <a:solidFill>
                <a:srgbClr val="00FF00"/>
              </a:solidFill>
              <a:ln>
                <a:noFill/>
              </a:ln>
              <a:effectLst/>
            </c:spPr>
            <c:extLst>
              <c:ext xmlns:c16="http://schemas.microsoft.com/office/drawing/2014/chart" uri="{C3380CC4-5D6E-409C-BE32-E72D297353CC}">
                <c16:uniqueId val="{00000004-A460-43EE-A3EE-AE1320B7E93A}"/>
              </c:ext>
            </c:extLst>
          </c:dPt>
          <c:dPt>
            <c:idx val="20"/>
            <c:invertIfNegative val="0"/>
            <c:bubble3D val="0"/>
            <c:spPr>
              <a:solidFill>
                <a:srgbClr val="00FF00"/>
              </a:solidFill>
              <a:ln>
                <a:noFill/>
              </a:ln>
              <a:effectLst/>
            </c:spPr>
            <c:extLst>
              <c:ext xmlns:c16="http://schemas.microsoft.com/office/drawing/2014/chart" uri="{C3380CC4-5D6E-409C-BE32-E72D297353CC}">
                <c16:uniqueId val="{00000003-A460-43EE-A3EE-AE1320B7E93A}"/>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'Eval Crtiteria Ranking'!$B$4:$B$28</c:f>
              <c:strCache>
                <c:ptCount val="25"/>
                <c:pt idx="0">
                  <c:v>Wz in Existing Res by 2040</c:v>
                </c:pt>
                <c:pt idx="1">
                  <c:v>Wz in Existing Com by 2040</c:v>
                </c:pt>
                <c:pt idx="2">
                  <c:v>Res Code Reduction 60% by 2030</c:v>
                </c:pt>
                <c:pt idx="3">
                  <c:v>Existing Res buildings 100% HP by 2043</c:v>
                </c:pt>
                <c:pt idx="4">
                  <c:v>Com Code Reduction 60% by 2030</c:v>
                </c:pt>
                <c:pt idx="5">
                  <c:v>100% Elec HP &amp; WH in New Res by 2025</c:v>
                </c:pt>
                <c:pt idx="6">
                  <c:v>RNG Full Potential by 2050</c:v>
                </c:pt>
                <c:pt idx="7">
                  <c:v>Ind RH2 70% by 2050</c:v>
                </c:pt>
                <c:pt idx="8">
                  <c:v>Food Waste Program</c:v>
                </c:pt>
                <c:pt idx="9">
                  <c:v>Existing Res buildings 100% HPWH by 2043</c:v>
                </c:pt>
                <c:pt idx="10">
                  <c:v>10% Micro-mobility by 2035</c:v>
                </c:pt>
                <c:pt idx="11">
                  <c:v>Non-CPP Ind EE 50% by 2050</c:v>
                </c:pt>
                <c:pt idx="12">
                  <c:v>Existing Com buildings 100% HP by 2043</c:v>
                </c:pt>
                <c:pt idx="13">
                  <c:v>Congestion Pricing</c:v>
                </c:pt>
                <c:pt idx="14">
                  <c:v>Higher Urban Res Density</c:v>
                </c:pt>
                <c:pt idx="15">
                  <c:v>100% Elec HP &amp; 50% WH in New Com by 2025</c:v>
                </c:pt>
                <c:pt idx="16">
                  <c:v>Increase Amtrak Ridership</c:v>
                </c:pt>
                <c:pt idx="17">
                  <c:v>Home Fuel Cells 5% by 2030</c:v>
                </c:pt>
                <c:pt idx="18">
                  <c:v>Carshare Increases by 2035</c:v>
                </c:pt>
                <c:pt idx="19">
                  <c:v>MD/HD Zero Emission Plan</c:v>
                </c:pt>
                <c:pt idx="20">
                  <c:v>RH2 Injection 15% by 2035</c:v>
                </c:pt>
                <c:pt idx="21">
                  <c:v>Reduced Res Floor Area</c:v>
                </c:pt>
                <c:pt idx="22">
                  <c:v>Existing Com buildings 100% HPWH by 2043</c:v>
                </c:pt>
                <c:pt idx="23">
                  <c:v>Water Systems EE 20% by 2035</c:v>
                </c:pt>
                <c:pt idx="24">
                  <c:v>10% Mode Shift MD to LD</c:v>
                </c:pt>
              </c:strCache>
            </c:strRef>
          </c:cat>
          <c:val>
            <c:numRef>
              <c:f>'Eval Crtiteria Ranking'!$C$4:$C$28</c:f>
              <c:numCache>
                <c:formatCode>0.0</c:formatCode>
                <c:ptCount val="25"/>
                <c:pt idx="0">
                  <c:v>82.539999999999992</c:v>
                </c:pt>
                <c:pt idx="1">
                  <c:v>70.3</c:v>
                </c:pt>
                <c:pt idx="2">
                  <c:v>63.739999999999995</c:v>
                </c:pt>
                <c:pt idx="3">
                  <c:v>63.33</c:v>
                </c:pt>
                <c:pt idx="4">
                  <c:v>62.01</c:v>
                </c:pt>
                <c:pt idx="5">
                  <c:v>61.25</c:v>
                </c:pt>
                <c:pt idx="6">
                  <c:v>59.489999999999995</c:v>
                </c:pt>
                <c:pt idx="7">
                  <c:v>57.8</c:v>
                </c:pt>
                <c:pt idx="8">
                  <c:v>56.550000000000004</c:v>
                </c:pt>
                <c:pt idx="9">
                  <c:v>54.459999999999994</c:v>
                </c:pt>
                <c:pt idx="10">
                  <c:v>51.89</c:v>
                </c:pt>
                <c:pt idx="11">
                  <c:v>50.859999999999992</c:v>
                </c:pt>
                <c:pt idx="12">
                  <c:v>49.11</c:v>
                </c:pt>
                <c:pt idx="13">
                  <c:v>47.93</c:v>
                </c:pt>
                <c:pt idx="14">
                  <c:v>46.91</c:v>
                </c:pt>
                <c:pt idx="15">
                  <c:v>46.319999999999993</c:v>
                </c:pt>
                <c:pt idx="16">
                  <c:v>44.690000000000005</c:v>
                </c:pt>
                <c:pt idx="17">
                  <c:v>44.660000000000004</c:v>
                </c:pt>
                <c:pt idx="18">
                  <c:v>43.67</c:v>
                </c:pt>
                <c:pt idx="19">
                  <c:v>42.599999999999994</c:v>
                </c:pt>
                <c:pt idx="20">
                  <c:v>41.28</c:v>
                </c:pt>
                <c:pt idx="21">
                  <c:v>40.06</c:v>
                </c:pt>
                <c:pt idx="22">
                  <c:v>37.950000000000003</c:v>
                </c:pt>
                <c:pt idx="23">
                  <c:v>36.339999999999996</c:v>
                </c:pt>
                <c:pt idx="24">
                  <c:v>33.71</c:v>
                </c:pt>
              </c:numCache>
            </c:numRef>
          </c:val>
          <c:extLst>
            <c:ext xmlns:c16="http://schemas.microsoft.com/office/drawing/2014/chart" uri="{C3380CC4-5D6E-409C-BE32-E72D297353CC}">
              <c16:uniqueId val="{00000000-DDCC-495D-BE80-8C41C5EEC292}"/>
            </c:ext>
          </c:extLst>
        </c:ser>
        <c:dLbls>
          <c:showLegendKey val="0"/>
          <c:showVal val="0"/>
          <c:showCatName val="0"/>
          <c:showSerName val="0"/>
          <c:showPercent val="0"/>
          <c:showBubbleSize val="0"/>
        </c:dLbls>
        <c:gapWidth val="219"/>
        <c:overlap val="-27"/>
        <c:axId val="1543087119"/>
        <c:axId val="1543083375"/>
      </c:barChart>
      <c:catAx>
        <c:axId val="1543087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83375"/>
        <c:crosses val="autoZero"/>
        <c:auto val="1"/>
        <c:lblAlgn val="ctr"/>
        <c:lblOffset val="100"/>
        <c:noMultiLvlLbl val="0"/>
      </c:catAx>
      <c:valAx>
        <c:axId val="1543083375"/>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871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Co-Benefits Only Ranking</a:t>
            </a:r>
          </a:p>
          <a:p>
            <a:pPr>
              <a:defRPr/>
            </a:pPr>
            <a:r>
              <a:rPr lang="en-US"/>
              <a:t>(out</a:t>
            </a:r>
            <a:r>
              <a:rPr lang="en-US" baseline="0"/>
              <a:t> of max of 45 points)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670302532214171E-2"/>
          <c:y val="0.11832922815477799"/>
          <c:w val="0.9083296974677858"/>
          <c:h val="0.57847712464271361"/>
        </c:manualLayout>
      </c:layout>
      <c:barChart>
        <c:barDir val="col"/>
        <c:grouping val="clustered"/>
        <c:varyColors val="0"/>
        <c:ser>
          <c:idx val="0"/>
          <c:order val="0"/>
          <c:spPr>
            <a:solidFill>
              <a:schemeClr val="accent1"/>
            </a:solidFill>
            <a:ln>
              <a:noFill/>
            </a:ln>
            <a:effectLst/>
          </c:spPr>
          <c:invertIfNegative val="0"/>
          <c:dPt>
            <c:idx val="13"/>
            <c:invertIfNegative val="0"/>
            <c:bubble3D val="0"/>
            <c:spPr>
              <a:solidFill>
                <a:srgbClr val="00FF00"/>
              </a:solidFill>
              <a:ln>
                <a:noFill/>
              </a:ln>
              <a:effectLst/>
            </c:spPr>
            <c:extLst>
              <c:ext xmlns:c16="http://schemas.microsoft.com/office/drawing/2014/chart" uri="{C3380CC4-5D6E-409C-BE32-E72D297353CC}">
                <c16:uniqueId val="{00000001-B260-46D9-8020-847596DA1742}"/>
              </c:ext>
            </c:extLst>
          </c:dPt>
          <c:dPt>
            <c:idx val="16"/>
            <c:invertIfNegative val="0"/>
            <c:bubble3D val="0"/>
            <c:spPr>
              <a:solidFill>
                <a:srgbClr val="00FF00"/>
              </a:solidFill>
              <a:ln>
                <a:noFill/>
              </a:ln>
              <a:effectLst/>
            </c:spPr>
            <c:extLst>
              <c:ext xmlns:c16="http://schemas.microsoft.com/office/drawing/2014/chart" uri="{C3380CC4-5D6E-409C-BE32-E72D297353CC}">
                <c16:uniqueId val="{00000002-B260-46D9-8020-847596DA1742}"/>
              </c:ext>
            </c:extLst>
          </c:dPt>
          <c:dPt>
            <c:idx val="18"/>
            <c:invertIfNegative val="0"/>
            <c:bubble3D val="0"/>
            <c:spPr>
              <a:solidFill>
                <a:srgbClr val="00FF00"/>
              </a:solidFill>
              <a:ln>
                <a:noFill/>
              </a:ln>
              <a:effectLst/>
            </c:spPr>
            <c:extLst>
              <c:ext xmlns:c16="http://schemas.microsoft.com/office/drawing/2014/chart" uri="{C3380CC4-5D6E-409C-BE32-E72D297353CC}">
                <c16:uniqueId val="{00000003-B260-46D9-8020-847596DA1742}"/>
              </c:ext>
            </c:extLst>
          </c:dPt>
          <c:dPt>
            <c:idx val="20"/>
            <c:invertIfNegative val="0"/>
            <c:bubble3D val="0"/>
            <c:spPr>
              <a:solidFill>
                <a:srgbClr val="00FF00"/>
              </a:solidFill>
              <a:ln>
                <a:noFill/>
              </a:ln>
              <a:effectLst/>
            </c:spPr>
            <c:extLst>
              <c:ext xmlns:c16="http://schemas.microsoft.com/office/drawing/2014/chart" uri="{C3380CC4-5D6E-409C-BE32-E72D297353CC}">
                <c16:uniqueId val="{00000004-B260-46D9-8020-847596DA174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'Co-Benefits Ranking'!$B$4:$B$28</c:f>
              <c:strCache>
                <c:ptCount val="25"/>
                <c:pt idx="0">
                  <c:v>Existing Res buildings 100% HP by 2043</c:v>
                </c:pt>
                <c:pt idx="1">
                  <c:v>Wz in Existing Res by 2040</c:v>
                </c:pt>
                <c:pt idx="2">
                  <c:v>100% Elec HP &amp; WH in New Res by 2025</c:v>
                </c:pt>
                <c:pt idx="3">
                  <c:v>Res Code Reduction 60% by 2030</c:v>
                </c:pt>
                <c:pt idx="4">
                  <c:v>100% Elec HP &amp; 50% WH in New Com by 2025</c:v>
                </c:pt>
                <c:pt idx="5">
                  <c:v>Com Code Reduction 60% by 2030</c:v>
                </c:pt>
                <c:pt idx="6">
                  <c:v>Wz in Existing Com by 2040</c:v>
                </c:pt>
                <c:pt idx="7">
                  <c:v>Food Waste Program</c:v>
                </c:pt>
                <c:pt idx="8">
                  <c:v>Existing Res buildings 100% HPWH by 2043</c:v>
                </c:pt>
                <c:pt idx="9">
                  <c:v>Existing Com buildings 100% HPWH by 2043</c:v>
                </c:pt>
                <c:pt idx="10">
                  <c:v>Existing Com buildings 100% HP by 2043</c:v>
                </c:pt>
                <c:pt idx="11">
                  <c:v>Congestion Pricing</c:v>
                </c:pt>
                <c:pt idx="12">
                  <c:v>10% Micro-mobility by 2035</c:v>
                </c:pt>
                <c:pt idx="13">
                  <c:v>Home Fuel Cells 5% by 2030</c:v>
                </c:pt>
                <c:pt idx="14">
                  <c:v>Higher Urban Res Density</c:v>
                </c:pt>
                <c:pt idx="15">
                  <c:v>Non-CPP Ind EE 50% by 2050</c:v>
                </c:pt>
                <c:pt idx="16">
                  <c:v>Ind RH2 70% by 2050</c:v>
                </c:pt>
                <c:pt idx="17">
                  <c:v>Increase Amtrak Ridership</c:v>
                </c:pt>
                <c:pt idx="18">
                  <c:v>RH2 Injection 15% by 2035</c:v>
                </c:pt>
                <c:pt idx="19">
                  <c:v>Water Systems EE 20% by 2035</c:v>
                </c:pt>
                <c:pt idx="20">
                  <c:v>RNG Full Potential by 2050</c:v>
                </c:pt>
                <c:pt idx="21">
                  <c:v>10% Mode Shift MD to LD</c:v>
                </c:pt>
                <c:pt idx="22">
                  <c:v>Reduced Res Floor Area</c:v>
                </c:pt>
                <c:pt idx="23">
                  <c:v>Carshare Increases by 2035</c:v>
                </c:pt>
                <c:pt idx="24">
                  <c:v>MD/HD Zero Emission Plan</c:v>
                </c:pt>
              </c:strCache>
            </c:strRef>
          </c:cat>
          <c:val>
            <c:numRef>
              <c:f>'Co-Benefits Ranking'!$C$4:$C$28</c:f>
              <c:numCache>
                <c:formatCode>0.0</c:formatCode>
                <c:ptCount val="25"/>
                <c:pt idx="0">
                  <c:v>40.81</c:v>
                </c:pt>
                <c:pt idx="1">
                  <c:v>39.14</c:v>
                </c:pt>
                <c:pt idx="2">
                  <c:v>30.630000000000003</c:v>
                </c:pt>
                <c:pt idx="3">
                  <c:v>26.080000000000002</c:v>
                </c:pt>
                <c:pt idx="4">
                  <c:v>25.28</c:v>
                </c:pt>
                <c:pt idx="5">
                  <c:v>24.71</c:v>
                </c:pt>
                <c:pt idx="6">
                  <c:v>24</c:v>
                </c:pt>
                <c:pt idx="7">
                  <c:v>23.31</c:v>
                </c:pt>
                <c:pt idx="8">
                  <c:v>21.9</c:v>
                </c:pt>
                <c:pt idx="9">
                  <c:v>21.230000000000004</c:v>
                </c:pt>
                <c:pt idx="10">
                  <c:v>21.21</c:v>
                </c:pt>
                <c:pt idx="11">
                  <c:v>21.21</c:v>
                </c:pt>
                <c:pt idx="12">
                  <c:v>20.51</c:v>
                </c:pt>
                <c:pt idx="13">
                  <c:v>19.18</c:v>
                </c:pt>
                <c:pt idx="14">
                  <c:v>14.93</c:v>
                </c:pt>
                <c:pt idx="15">
                  <c:v>14.260000000000002</c:v>
                </c:pt>
                <c:pt idx="16">
                  <c:v>12.9</c:v>
                </c:pt>
                <c:pt idx="17">
                  <c:v>12.170000000000002</c:v>
                </c:pt>
                <c:pt idx="18">
                  <c:v>11.500000000000002</c:v>
                </c:pt>
                <c:pt idx="19">
                  <c:v>10.860000000000001</c:v>
                </c:pt>
                <c:pt idx="20">
                  <c:v>10.810000000000002</c:v>
                </c:pt>
                <c:pt idx="21">
                  <c:v>10.770000000000001</c:v>
                </c:pt>
                <c:pt idx="22">
                  <c:v>10.08</c:v>
                </c:pt>
                <c:pt idx="23">
                  <c:v>9.39</c:v>
                </c:pt>
                <c:pt idx="24">
                  <c:v>4.5</c:v>
                </c:pt>
              </c:numCache>
            </c:numRef>
          </c:val>
          <c:extLst>
            <c:ext xmlns:c16="http://schemas.microsoft.com/office/drawing/2014/chart" uri="{C3380CC4-5D6E-409C-BE32-E72D297353CC}">
              <c16:uniqueId val="{00000000-B260-46D9-8020-847596DA1742}"/>
            </c:ext>
          </c:extLst>
        </c:ser>
        <c:dLbls>
          <c:showLegendKey val="0"/>
          <c:showVal val="0"/>
          <c:showCatName val="0"/>
          <c:showSerName val="0"/>
          <c:showPercent val="0"/>
          <c:showBubbleSize val="0"/>
        </c:dLbls>
        <c:gapWidth val="219"/>
        <c:overlap val="-27"/>
        <c:axId val="1929735712"/>
        <c:axId val="1929744864"/>
      </c:barChart>
      <c:catAx>
        <c:axId val="192973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9744864"/>
        <c:crosses val="autoZero"/>
        <c:auto val="1"/>
        <c:lblAlgn val="ctr"/>
        <c:lblOffset val="100"/>
        <c:noMultiLvlLbl val="0"/>
      </c:catAx>
      <c:valAx>
        <c:axId val="1929744864"/>
        <c:scaling>
          <c:orientation val="minMax"/>
          <c:max val="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Score</a:t>
                </a:r>
              </a:p>
            </c:rich>
          </c:tx>
          <c:layout>
            <c:manualLayout>
              <c:xMode val="edge"/>
              <c:yMode val="edge"/>
              <c:x val="1.0826942871588478E-2"/>
              <c:y val="0.3492494341801127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9735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147636</xdr:colOff>
      <xdr:row>8</xdr:row>
      <xdr:rowOff>57149</xdr:rowOff>
    </xdr:from>
    <xdr:to>
      <xdr:col>11</xdr:col>
      <xdr:colOff>876299</xdr:colOff>
      <xdr:row>28</xdr:row>
      <xdr:rowOff>161924</xdr:rowOff>
    </xdr:to>
    <xdr:graphicFrame macro="">
      <xdr:nvGraphicFramePr>
        <xdr:cNvPr id="3" name="Chart 2">
          <a:extLst>
            <a:ext uri="{FF2B5EF4-FFF2-40B4-BE49-F238E27FC236}">
              <a16:creationId xmlns:a16="http://schemas.microsoft.com/office/drawing/2014/main" id="{C1ED545B-74C0-F295-33FB-17F08A32E3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261936</xdr:colOff>
      <xdr:row>2</xdr:row>
      <xdr:rowOff>52387</xdr:rowOff>
    </xdr:from>
    <xdr:to>
      <xdr:col>24</xdr:col>
      <xdr:colOff>457199</xdr:colOff>
      <xdr:row>32</xdr:row>
      <xdr:rowOff>85725</xdr:rowOff>
    </xdr:to>
    <xdr:graphicFrame macro="">
      <xdr:nvGraphicFramePr>
        <xdr:cNvPr id="2" name="Chart 1">
          <a:extLst>
            <a:ext uri="{FF2B5EF4-FFF2-40B4-BE49-F238E27FC236}">
              <a16:creationId xmlns:a16="http://schemas.microsoft.com/office/drawing/2014/main" id="{EFD6F5D5-19C8-02A3-692B-13198D8718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228600</xdr:colOff>
      <xdr:row>0</xdr:row>
      <xdr:rowOff>123826</xdr:rowOff>
    </xdr:from>
    <xdr:to>
      <xdr:col>24</xdr:col>
      <xdr:colOff>476250</xdr:colOff>
      <xdr:row>31</xdr:row>
      <xdr:rowOff>133350</xdr:rowOff>
    </xdr:to>
    <xdr:graphicFrame macro="">
      <xdr:nvGraphicFramePr>
        <xdr:cNvPr id="2" name="Chart 1">
          <a:extLst>
            <a:ext uri="{FF2B5EF4-FFF2-40B4-BE49-F238E27FC236}">
              <a16:creationId xmlns:a16="http://schemas.microsoft.com/office/drawing/2014/main" id="{8EC65370-1709-06D4-A421-B742A5FAAD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0.53752</cdr:x>
      <cdr:y>0.15421</cdr:y>
    </cdr:from>
    <cdr:to>
      <cdr:x>0.58499</cdr:x>
      <cdr:y>0.24801</cdr:y>
    </cdr:to>
    <cdr:sp macro="" textlink="">
      <cdr:nvSpPr>
        <cdr:cNvPr id="2" name="Oval 1">
          <a:extLst xmlns:a="http://schemas.openxmlformats.org/drawingml/2006/main">
            <a:ext uri="{FF2B5EF4-FFF2-40B4-BE49-F238E27FC236}">
              <a16:creationId xmlns:a16="http://schemas.microsoft.com/office/drawing/2014/main" id="{75267406-EA39-119C-7A02-0530B6165F3F}"/>
            </a:ext>
          </a:extLst>
        </cdr:cNvPr>
        <cdr:cNvSpPr/>
      </cdr:nvSpPr>
      <cdr:spPr>
        <a:xfrm xmlns:a="http://schemas.openxmlformats.org/drawingml/2006/main">
          <a:off x="6686550" y="923923"/>
          <a:ext cx="590550" cy="561975"/>
        </a:xfrm>
        <a:prstGeom xmlns:a="http://schemas.openxmlformats.org/drawingml/2006/main" prst="ellipse">
          <a:avLst/>
        </a:prstGeom>
        <a:noFill xmlns:a="http://schemas.openxmlformats.org/drawingml/2006/main"/>
        <a:ln xmlns:a="http://schemas.openxmlformats.org/drawingml/2006/main" w="2540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0.69091</cdr:x>
      <cdr:y>0.11977</cdr:y>
    </cdr:from>
    <cdr:to>
      <cdr:x>0.73839</cdr:x>
      <cdr:y>0.21357</cdr:y>
    </cdr:to>
    <cdr:sp macro="" textlink="">
      <cdr:nvSpPr>
        <cdr:cNvPr id="3" name="Oval 2">
          <a:extLst xmlns:a="http://schemas.openxmlformats.org/drawingml/2006/main">
            <a:ext uri="{FF2B5EF4-FFF2-40B4-BE49-F238E27FC236}">
              <a16:creationId xmlns:a16="http://schemas.microsoft.com/office/drawing/2014/main" id="{37AFB5D0-A0E5-C6CE-7786-A85CCC565E12}"/>
            </a:ext>
          </a:extLst>
        </cdr:cNvPr>
        <cdr:cNvSpPr/>
      </cdr:nvSpPr>
      <cdr:spPr>
        <a:xfrm xmlns:a="http://schemas.openxmlformats.org/drawingml/2006/main">
          <a:off x="8594725" y="717550"/>
          <a:ext cx="590550" cy="561975"/>
        </a:xfrm>
        <a:prstGeom xmlns:a="http://schemas.openxmlformats.org/drawingml/2006/main" prst="ellipse">
          <a:avLst/>
        </a:prstGeom>
        <a:noFill xmlns:a="http://schemas.openxmlformats.org/drawingml/2006/main"/>
        <a:ln xmlns:a="http://schemas.openxmlformats.org/drawingml/2006/main" w="2540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0.65033</cdr:x>
      <cdr:y>0.12136</cdr:y>
    </cdr:from>
    <cdr:to>
      <cdr:x>0.69781</cdr:x>
      <cdr:y>0.21516</cdr:y>
    </cdr:to>
    <cdr:sp macro="" textlink="">
      <cdr:nvSpPr>
        <cdr:cNvPr id="4" name="Oval 3">
          <a:extLst xmlns:a="http://schemas.openxmlformats.org/drawingml/2006/main">
            <a:ext uri="{FF2B5EF4-FFF2-40B4-BE49-F238E27FC236}">
              <a16:creationId xmlns:a16="http://schemas.microsoft.com/office/drawing/2014/main" id="{37AFB5D0-A0E5-C6CE-7786-A85CCC565E12}"/>
            </a:ext>
          </a:extLst>
        </cdr:cNvPr>
        <cdr:cNvSpPr/>
      </cdr:nvSpPr>
      <cdr:spPr>
        <a:xfrm xmlns:a="http://schemas.openxmlformats.org/drawingml/2006/main">
          <a:off x="8089900" y="727075"/>
          <a:ext cx="590550" cy="561975"/>
        </a:xfrm>
        <a:prstGeom xmlns:a="http://schemas.openxmlformats.org/drawingml/2006/main" prst="ellipse">
          <a:avLst/>
        </a:prstGeom>
        <a:noFill xmlns:a="http://schemas.openxmlformats.org/drawingml/2006/main"/>
        <a:ln xmlns:a="http://schemas.openxmlformats.org/drawingml/2006/main" w="2540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0.61205</cdr:x>
      <cdr:y>0.11818</cdr:y>
    </cdr:from>
    <cdr:to>
      <cdr:x>0.65952</cdr:x>
      <cdr:y>0.21198</cdr:y>
    </cdr:to>
    <cdr:sp macro="" textlink="">
      <cdr:nvSpPr>
        <cdr:cNvPr id="5" name="Oval 4">
          <a:extLst xmlns:a="http://schemas.openxmlformats.org/drawingml/2006/main">
            <a:ext uri="{FF2B5EF4-FFF2-40B4-BE49-F238E27FC236}">
              <a16:creationId xmlns:a16="http://schemas.microsoft.com/office/drawing/2014/main" id="{37AFB5D0-A0E5-C6CE-7786-A85CCC565E12}"/>
            </a:ext>
          </a:extLst>
        </cdr:cNvPr>
        <cdr:cNvSpPr/>
      </cdr:nvSpPr>
      <cdr:spPr>
        <a:xfrm xmlns:a="http://schemas.openxmlformats.org/drawingml/2006/main">
          <a:off x="7613650" y="708025"/>
          <a:ext cx="590550" cy="561975"/>
        </a:xfrm>
        <a:prstGeom xmlns:a="http://schemas.openxmlformats.org/drawingml/2006/main" prst="ellipse">
          <a:avLst/>
        </a:prstGeom>
        <a:noFill xmlns:a="http://schemas.openxmlformats.org/drawingml/2006/main"/>
        <a:ln xmlns:a="http://schemas.openxmlformats.org/drawingml/2006/main" w="2540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57150</xdr:colOff>
      <xdr:row>2</xdr:row>
      <xdr:rowOff>38100</xdr:rowOff>
    </xdr:from>
    <xdr:to>
      <xdr:col>24</xdr:col>
      <xdr:colOff>542925</xdr:colOff>
      <xdr:row>32</xdr:row>
      <xdr:rowOff>161925</xdr:rowOff>
    </xdr:to>
    <xdr:graphicFrame macro="">
      <xdr:nvGraphicFramePr>
        <xdr:cNvPr id="2" name="Chart 1">
          <a:extLst>
            <a:ext uri="{FF2B5EF4-FFF2-40B4-BE49-F238E27FC236}">
              <a16:creationId xmlns:a16="http://schemas.microsoft.com/office/drawing/2014/main" id="{70C2D99B-096C-39CD-9F1E-001FF65403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257174</xdr:colOff>
      <xdr:row>2</xdr:row>
      <xdr:rowOff>61911</xdr:rowOff>
    </xdr:from>
    <xdr:to>
      <xdr:col>24</xdr:col>
      <xdr:colOff>476249</xdr:colOff>
      <xdr:row>32</xdr:row>
      <xdr:rowOff>161924</xdr:rowOff>
    </xdr:to>
    <xdr:graphicFrame macro="">
      <xdr:nvGraphicFramePr>
        <xdr:cNvPr id="2" name="Chart 1">
          <a:extLst>
            <a:ext uri="{FF2B5EF4-FFF2-40B4-BE49-F238E27FC236}">
              <a16:creationId xmlns:a16="http://schemas.microsoft.com/office/drawing/2014/main" id="{A0E46C81-FE29-63DD-E59C-8D85C4B2D6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314325</xdr:colOff>
      <xdr:row>3</xdr:row>
      <xdr:rowOff>47625</xdr:rowOff>
    </xdr:from>
    <xdr:to>
      <xdr:col>10</xdr:col>
      <xdr:colOff>360044</xdr:colOff>
      <xdr:row>3</xdr:row>
      <xdr:rowOff>161925</xdr:rowOff>
    </xdr:to>
    <xdr:sp macro="" textlink="">
      <xdr:nvSpPr>
        <xdr:cNvPr id="3" name="Arrow: Down 2">
          <a:extLst>
            <a:ext uri="{FF2B5EF4-FFF2-40B4-BE49-F238E27FC236}">
              <a16:creationId xmlns:a16="http://schemas.microsoft.com/office/drawing/2014/main" id="{05698EC3-DA36-E696-EDDD-F75A063BA1E0}"/>
            </a:ext>
          </a:extLst>
        </xdr:cNvPr>
        <xdr:cNvSpPr/>
      </xdr:nvSpPr>
      <xdr:spPr>
        <a:xfrm>
          <a:off x="10925175" y="9620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4</xdr:row>
      <xdr:rowOff>47625</xdr:rowOff>
    </xdr:from>
    <xdr:to>
      <xdr:col>10</xdr:col>
      <xdr:colOff>360044</xdr:colOff>
      <xdr:row>4</xdr:row>
      <xdr:rowOff>161925</xdr:rowOff>
    </xdr:to>
    <xdr:sp macro="" textlink="">
      <xdr:nvSpPr>
        <xdr:cNvPr id="5" name="Arrow: Down 4">
          <a:extLst>
            <a:ext uri="{FF2B5EF4-FFF2-40B4-BE49-F238E27FC236}">
              <a16:creationId xmlns:a16="http://schemas.microsoft.com/office/drawing/2014/main" id="{CB2E3535-DFC8-4F75-9460-A99F589ED039}"/>
            </a:ext>
          </a:extLst>
        </xdr:cNvPr>
        <xdr:cNvSpPr/>
      </xdr:nvSpPr>
      <xdr:spPr>
        <a:xfrm>
          <a:off x="10925175" y="11525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17</xdr:row>
      <xdr:rowOff>47625</xdr:rowOff>
    </xdr:from>
    <xdr:to>
      <xdr:col>10</xdr:col>
      <xdr:colOff>360044</xdr:colOff>
      <xdr:row>17</xdr:row>
      <xdr:rowOff>161925</xdr:rowOff>
    </xdr:to>
    <xdr:sp macro="" textlink="">
      <xdr:nvSpPr>
        <xdr:cNvPr id="6" name="Arrow: Down 5">
          <a:extLst>
            <a:ext uri="{FF2B5EF4-FFF2-40B4-BE49-F238E27FC236}">
              <a16:creationId xmlns:a16="http://schemas.microsoft.com/office/drawing/2014/main" id="{C33A13A6-5A41-4655-9159-14B187E1A4EB}"/>
            </a:ext>
          </a:extLst>
        </xdr:cNvPr>
        <xdr:cNvSpPr/>
      </xdr:nvSpPr>
      <xdr:spPr>
        <a:xfrm>
          <a:off x="11039475" y="41624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18</xdr:row>
      <xdr:rowOff>38100</xdr:rowOff>
    </xdr:from>
    <xdr:to>
      <xdr:col>10</xdr:col>
      <xdr:colOff>360044</xdr:colOff>
      <xdr:row>18</xdr:row>
      <xdr:rowOff>152400</xdr:rowOff>
    </xdr:to>
    <xdr:sp macro="" textlink="">
      <xdr:nvSpPr>
        <xdr:cNvPr id="16" name="Arrow: Down 15">
          <a:extLst>
            <a:ext uri="{FF2B5EF4-FFF2-40B4-BE49-F238E27FC236}">
              <a16:creationId xmlns:a16="http://schemas.microsoft.com/office/drawing/2014/main" id="{66CBA333-98F3-4422-B096-2D22AB95CF8A}"/>
            </a:ext>
          </a:extLst>
        </xdr:cNvPr>
        <xdr:cNvSpPr/>
      </xdr:nvSpPr>
      <xdr:spPr>
        <a:xfrm>
          <a:off x="11039475" y="46482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323850</xdr:colOff>
      <xdr:row>21</xdr:row>
      <xdr:rowOff>47625</xdr:rowOff>
    </xdr:from>
    <xdr:to>
      <xdr:col>10</xdr:col>
      <xdr:colOff>369569</xdr:colOff>
      <xdr:row>21</xdr:row>
      <xdr:rowOff>161925</xdr:rowOff>
    </xdr:to>
    <xdr:sp macro="" textlink="">
      <xdr:nvSpPr>
        <xdr:cNvPr id="17" name="Arrow: Down 16">
          <a:extLst>
            <a:ext uri="{FF2B5EF4-FFF2-40B4-BE49-F238E27FC236}">
              <a16:creationId xmlns:a16="http://schemas.microsoft.com/office/drawing/2014/main" id="{916AE542-513D-4B7F-AC51-EF127E553486}"/>
            </a:ext>
          </a:extLst>
        </xdr:cNvPr>
        <xdr:cNvSpPr/>
      </xdr:nvSpPr>
      <xdr:spPr>
        <a:xfrm>
          <a:off x="11049000" y="49244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323850</xdr:colOff>
      <xdr:row>23</xdr:row>
      <xdr:rowOff>47625</xdr:rowOff>
    </xdr:from>
    <xdr:to>
      <xdr:col>10</xdr:col>
      <xdr:colOff>369569</xdr:colOff>
      <xdr:row>23</xdr:row>
      <xdr:rowOff>161925</xdr:rowOff>
    </xdr:to>
    <xdr:sp macro="" textlink="">
      <xdr:nvSpPr>
        <xdr:cNvPr id="18" name="Arrow: Down 17">
          <a:extLst>
            <a:ext uri="{FF2B5EF4-FFF2-40B4-BE49-F238E27FC236}">
              <a16:creationId xmlns:a16="http://schemas.microsoft.com/office/drawing/2014/main" id="{E0F8DC16-EE8D-4227-A258-B4651A157735}"/>
            </a:ext>
          </a:extLst>
        </xdr:cNvPr>
        <xdr:cNvSpPr/>
      </xdr:nvSpPr>
      <xdr:spPr>
        <a:xfrm>
          <a:off x="10934700" y="49625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6</xdr:row>
      <xdr:rowOff>28575</xdr:rowOff>
    </xdr:from>
    <xdr:to>
      <xdr:col>10</xdr:col>
      <xdr:colOff>360044</xdr:colOff>
      <xdr:row>6</xdr:row>
      <xdr:rowOff>142875</xdr:rowOff>
    </xdr:to>
    <xdr:sp macro="" textlink="">
      <xdr:nvSpPr>
        <xdr:cNvPr id="26" name="Arrow: Down 25">
          <a:extLst>
            <a:ext uri="{FF2B5EF4-FFF2-40B4-BE49-F238E27FC236}">
              <a16:creationId xmlns:a16="http://schemas.microsoft.com/office/drawing/2014/main" id="{CC88BA2B-04EB-4B1A-B71F-7ACF318CEF74}"/>
            </a:ext>
          </a:extLst>
        </xdr:cNvPr>
        <xdr:cNvSpPr/>
      </xdr:nvSpPr>
      <xdr:spPr>
        <a:xfrm rot="10800000">
          <a:off x="11039475" y="189547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323850</xdr:colOff>
      <xdr:row>24</xdr:row>
      <xdr:rowOff>38100</xdr:rowOff>
    </xdr:from>
    <xdr:to>
      <xdr:col>10</xdr:col>
      <xdr:colOff>369569</xdr:colOff>
      <xdr:row>24</xdr:row>
      <xdr:rowOff>152400</xdr:rowOff>
    </xdr:to>
    <xdr:sp macro="" textlink="">
      <xdr:nvSpPr>
        <xdr:cNvPr id="27" name="Arrow: Down 26">
          <a:extLst>
            <a:ext uri="{FF2B5EF4-FFF2-40B4-BE49-F238E27FC236}">
              <a16:creationId xmlns:a16="http://schemas.microsoft.com/office/drawing/2014/main" id="{07198B0E-3296-4B52-94D5-096C2255132E}"/>
            </a:ext>
          </a:extLst>
        </xdr:cNvPr>
        <xdr:cNvSpPr/>
      </xdr:nvSpPr>
      <xdr:spPr>
        <a:xfrm rot="10800000">
          <a:off x="10934700" y="20955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304800</xdr:colOff>
      <xdr:row>10</xdr:row>
      <xdr:rowOff>47625</xdr:rowOff>
    </xdr:from>
    <xdr:to>
      <xdr:col>10</xdr:col>
      <xdr:colOff>350519</xdr:colOff>
      <xdr:row>10</xdr:row>
      <xdr:rowOff>161925</xdr:rowOff>
    </xdr:to>
    <xdr:sp macro="" textlink="">
      <xdr:nvSpPr>
        <xdr:cNvPr id="28" name="Arrow: Down 27">
          <a:extLst>
            <a:ext uri="{FF2B5EF4-FFF2-40B4-BE49-F238E27FC236}">
              <a16:creationId xmlns:a16="http://schemas.microsoft.com/office/drawing/2014/main" id="{42775D64-D940-4442-9BAE-101DF0CA1F23}"/>
            </a:ext>
          </a:extLst>
        </xdr:cNvPr>
        <xdr:cNvSpPr/>
      </xdr:nvSpPr>
      <xdr:spPr>
        <a:xfrm rot="10800000">
          <a:off x="11029950" y="26765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314325</xdr:colOff>
      <xdr:row>7</xdr:row>
      <xdr:rowOff>38100</xdr:rowOff>
    </xdr:from>
    <xdr:to>
      <xdr:col>10</xdr:col>
      <xdr:colOff>360044</xdr:colOff>
      <xdr:row>7</xdr:row>
      <xdr:rowOff>152400</xdr:rowOff>
    </xdr:to>
    <xdr:sp macro="" textlink="">
      <xdr:nvSpPr>
        <xdr:cNvPr id="29" name="Arrow: Down 28">
          <a:extLst>
            <a:ext uri="{FF2B5EF4-FFF2-40B4-BE49-F238E27FC236}">
              <a16:creationId xmlns:a16="http://schemas.microsoft.com/office/drawing/2014/main" id="{0FFDB548-BC59-43FB-9694-A192733EC68A}"/>
            </a:ext>
          </a:extLst>
        </xdr:cNvPr>
        <xdr:cNvSpPr/>
      </xdr:nvSpPr>
      <xdr:spPr>
        <a:xfrm rot="10800000">
          <a:off x="11039475" y="20955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304800</xdr:colOff>
      <xdr:row>9</xdr:row>
      <xdr:rowOff>28575</xdr:rowOff>
    </xdr:from>
    <xdr:to>
      <xdr:col>10</xdr:col>
      <xdr:colOff>350519</xdr:colOff>
      <xdr:row>9</xdr:row>
      <xdr:rowOff>142875</xdr:rowOff>
    </xdr:to>
    <xdr:sp macro="" textlink="">
      <xdr:nvSpPr>
        <xdr:cNvPr id="32" name="Arrow: Down 31">
          <a:extLst>
            <a:ext uri="{FF2B5EF4-FFF2-40B4-BE49-F238E27FC236}">
              <a16:creationId xmlns:a16="http://schemas.microsoft.com/office/drawing/2014/main" id="{AFDD8024-D73C-4720-8D57-F6059206A839}"/>
            </a:ext>
          </a:extLst>
        </xdr:cNvPr>
        <xdr:cNvSpPr/>
      </xdr:nvSpPr>
      <xdr:spPr>
        <a:xfrm rot="10800000">
          <a:off x="11029950" y="246697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323850</xdr:colOff>
      <xdr:row>26</xdr:row>
      <xdr:rowOff>28575</xdr:rowOff>
    </xdr:from>
    <xdr:to>
      <xdr:col>10</xdr:col>
      <xdr:colOff>369569</xdr:colOff>
      <xdr:row>26</xdr:row>
      <xdr:rowOff>142875</xdr:rowOff>
    </xdr:to>
    <xdr:sp macro="" textlink="">
      <xdr:nvSpPr>
        <xdr:cNvPr id="33" name="Arrow: Down 32">
          <a:extLst>
            <a:ext uri="{FF2B5EF4-FFF2-40B4-BE49-F238E27FC236}">
              <a16:creationId xmlns:a16="http://schemas.microsoft.com/office/drawing/2014/main" id="{2BD17A03-FF3F-4363-B1C9-8090217C2E0D}"/>
            </a:ext>
          </a:extLst>
        </xdr:cNvPr>
        <xdr:cNvSpPr/>
      </xdr:nvSpPr>
      <xdr:spPr>
        <a:xfrm rot="10800000">
          <a:off x="11049000" y="585787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238125</xdr:colOff>
      <xdr:row>19</xdr:row>
      <xdr:rowOff>57151</xdr:rowOff>
    </xdr:from>
    <xdr:to>
      <xdr:col>10</xdr:col>
      <xdr:colOff>438150</xdr:colOff>
      <xdr:row>19</xdr:row>
      <xdr:rowOff>114301</xdr:rowOff>
    </xdr:to>
    <xdr:sp macro="" textlink="">
      <xdr:nvSpPr>
        <xdr:cNvPr id="35" name="Arrow: Left-Right 34">
          <a:extLst>
            <a:ext uri="{FF2B5EF4-FFF2-40B4-BE49-F238E27FC236}">
              <a16:creationId xmlns:a16="http://schemas.microsoft.com/office/drawing/2014/main" id="{E0161C20-B2CD-05EF-7D36-37A27670F444}"/>
            </a:ext>
          </a:extLst>
        </xdr:cNvPr>
        <xdr:cNvSpPr/>
      </xdr:nvSpPr>
      <xdr:spPr>
        <a:xfrm>
          <a:off x="10963275" y="5048251"/>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247650</xdr:colOff>
      <xdr:row>14</xdr:row>
      <xdr:rowOff>76200</xdr:rowOff>
    </xdr:from>
    <xdr:to>
      <xdr:col>10</xdr:col>
      <xdr:colOff>447675</xdr:colOff>
      <xdr:row>14</xdr:row>
      <xdr:rowOff>133350</xdr:rowOff>
    </xdr:to>
    <xdr:sp macro="" textlink="">
      <xdr:nvSpPr>
        <xdr:cNvPr id="37" name="Arrow: Left-Right 36">
          <a:extLst>
            <a:ext uri="{FF2B5EF4-FFF2-40B4-BE49-F238E27FC236}">
              <a16:creationId xmlns:a16="http://schemas.microsoft.com/office/drawing/2014/main" id="{6B11CCBB-28AC-4186-9F09-1BE3D439E930}"/>
            </a:ext>
          </a:extLst>
        </xdr:cNvPr>
        <xdr:cNvSpPr/>
      </xdr:nvSpPr>
      <xdr:spPr>
        <a:xfrm>
          <a:off x="10972800" y="354330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238125</xdr:colOff>
      <xdr:row>27</xdr:row>
      <xdr:rowOff>76200</xdr:rowOff>
    </xdr:from>
    <xdr:to>
      <xdr:col>10</xdr:col>
      <xdr:colOff>438150</xdr:colOff>
      <xdr:row>27</xdr:row>
      <xdr:rowOff>133350</xdr:rowOff>
    </xdr:to>
    <xdr:sp macro="" textlink="">
      <xdr:nvSpPr>
        <xdr:cNvPr id="38" name="Arrow: Left-Right 37">
          <a:extLst>
            <a:ext uri="{FF2B5EF4-FFF2-40B4-BE49-F238E27FC236}">
              <a16:creationId xmlns:a16="http://schemas.microsoft.com/office/drawing/2014/main" id="{21977DB9-8262-4A78-A1C1-0E3DAD50A9DE}"/>
            </a:ext>
          </a:extLst>
        </xdr:cNvPr>
        <xdr:cNvSpPr/>
      </xdr:nvSpPr>
      <xdr:spPr>
        <a:xfrm>
          <a:off x="10963275" y="609600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247650</xdr:colOff>
      <xdr:row>16</xdr:row>
      <xdr:rowOff>114300</xdr:rowOff>
    </xdr:from>
    <xdr:to>
      <xdr:col>10</xdr:col>
      <xdr:colOff>447675</xdr:colOff>
      <xdr:row>16</xdr:row>
      <xdr:rowOff>171450</xdr:rowOff>
    </xdr:to>
    <xdr:sp macro="" textlink="">
      <xdr:nvSpPr>
        <xdr:cNvPr id="40" name="Arrow: Left-Right 39">
          <a:extLst>
            <a:ext uri="{FF2B5EF4-FFF2-40B4-BE49-F238E27FC236}">
              <a16:creationId xmlns:a16="http://schemas.microsoft.com/office/drawing/2014/main" id="{885E009F-E6BD-44AD-9AB1-44CB8DB2D031}"/>
            </a:ext>
          </a:extLst>
        </xdr:cNvPr>
        <xdr:cNvSpPr/>
      </xdr:nvSpPr>
      <xdr:spPr>
        <a:xfrm>
          <a:off x="10972800" y="396240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238125</xdr:colOff>
      <xdr:row>5</xdr:row>
      <xdr:rowOff>66675</xdr:rowOff>
    </xdr:from>
    <xdr:to>
      <xdr:col>10</xdr:col>
      <xdr:colOff>438150</xdr:colOff>
      <xdr:row>5</xdr:row>
      <xdr:rowOff>123825</xdr:rowOff>
    </xdr:to>
    <xdr:sp macro="" textlink="">
      <xdr:nvSpPr>
        <xdr:cNvPr id="41" name="Arrow: Left-Right 40">
          <a:extLst>
            <a:ext uri="{FF2B5EF4-FFF2-40B4-BE49-F238E27FC236}">
              <a16:creationId xmlns:a16="http://schemas.microsoft.com/office/drawing/2014/main" id="{D1412215-0604-4A71-BB80-1159E13F9BED}"/>
            </a:ext>
          </a:extLst>
        </xdr:cNvPr>
        <xdr:cNvSpPr/>
      </xdr:nvSpPr>
      <xdr:spPr>
        <a:xfrm>
          <a:off x="10848975" y="13620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238125</xdr:colOff>
      <xdr:row>13</xdr:row>
      <xdr:rowOff>66675</xdr:rowOff>
    </xdr:from>
    <xdr:to>
      <xdr:col>10</xdr:col>
      <xdr:colOff>438150</xdr:colOff>
      <xdr:row>13</xdr:row>
      <xdr:rowOff>123825</xdr:rowOff>
    </xdr:to>
    <xdr:sp macro="" textlink="">
      <xdr:nvSpPr>
        <xdr:cNvPr id="42" name="Arrow: Left-Right 41">
          <a:extLst>
            <a:ext uri="{FF2B5EF4-FFF2-40B4-BE49-F238E27FC236}">
              <a16:creationId xmlns:a16="http://schemas.microsoft.com/office/drawing/2014/main" id="{7D5E69B5-16A5-4500-8286-F6BC9EF17B4C}"/>
            </a:ext>
          </a:extLst>
        </xdr:cNvPr>
        <xdr:cNvSpPr/>
      </xdr:nvSpPr>
      <xdr:spPr>
        <a:xfrm>
          <a:off x="10963275" y="33432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228600</xdr:colOff>
      <xdr:row>20</xdr:row>
      <xdr:rowOff>66675</xdr:rowOff>
    </xdr:from>
    <xdr:to>
      <xdr:col>10</xdr:col>
      <xdr:colOff>428625</xdr:colOff>
      <xdr:row>20</xdr:row>
      <xdr:rowOff>123825</xdr:rowOff>
    </xdr:to>
    <xdr:sp macro="" textlink="">
      <xdr:nvSpPr>
        <xdr:cNvPr id="43" name="Arrow: Left-Right 42">
          <a:extLst>
            <a:ext uri="{FF2B5EF4-FFF2-40B4-BE49-F238E27FC236}">
              <a16:creationId xmlns:a16="http://schemas.microsoft.com/office/drawing/2014/main" id="{106BD109-70EC-4F94-9F50-7225BA3A825F}"/>
            </a:ext>
          </a:extLst>
        </xdr:cNvPr>
        <xdr:cNvSpPr/>
      </xdr:nvSpPr>
      <xdr:spPr>
        <a:xfrm>
          <a:off x="10953750" y="47529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295275</xdr:colOff>
      <xdr:row>4</xdr:row>
      <xdr:rowOff>47625</xdr:rowOff>
    </xdr:from>
    <xdr:to>
      <xdr:col>23</xdr:col>
      <xdr:colOff>340994</xdr:colOff>
      <xdr:row>4</xdr:row>
      <xdr:rowOff>161925</xdr:rowOff>
    </xdr:to>
    <xdr:sp macro="" textlink="">
      <xdr:nvSpPr>
        <xdr:cNvPr id="44" name="Arrow: Down 43">
          <a:extLst>
            <a:ext uri="{FF2B5EF4-FFF2-40B4-BE49-F238E27FC236}">
              <a16:creationId xmlns:a16="http://schemas.microsoft.com/office/drawing/2014/main" id="{4849992A-56B6-4276-A0F5-A729575FCD56}"/>
            </a:ext>
          </a:extLst>
        </xdr:cNvPr>
        <xdr:cNvSpPr/>
      </xdr:nvSpPr>
      <xdr:spPr>
        <a:xfrm>
          <a:off x="17373600" y="52292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304800</xdr:colOff>
      <xdr:row>17</xdr:row>
      <xdr:rowOff>28575</xdr:rowOff>
    </xdr:from>
    <xdr:to>
      <xdr:col>23</xdr:col>
      <xdr:colOff>350519</xdr:colOff>
      <xdr:row>17</xdr:row>
      <xdr:rowOff>142875</xdr:rowOff>
    </xdr:to>
    <xdr:sp macro="" textlink="">
      <xdr:nvSpPr>
        <xdr:cNvPr id="45" name="Arrow: Down 44">
          <a:extLst>
            <a:ext uri="{FF2B5EF4-FFF2-40B4-BE49-F238E27FC236}">
              <a16:creationId xmlns:a16="http://schemas.microsoft.com/office/drawing/2014/main" id="{5C08D234-AB01-46AC-BEB6-32867428BC20}"/>
            </a:ext>
          </a:extLst>
        </xdr:cNvPr>
        <xdr:cNvSpPr/>
      </xdr:nvSpPr>
      <xdr:spPr>
        <a:xfrm>
          <a:off x="17383125" y="414337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295275</xdr:colOff>
      <xdr:row>3</xdr:row>
      <xdr:rowOff>57150</xdr:rowOff>
    </xdr:from>
    <xdr:to>
      <xdr:col>23</xdr:col>
      <xdr:colOff>340994</xdr:colOff>
      <xdr:row>3</xdr:row>
      <xdr:rowOff>171450</xdr:rowOff>
    </xdr:to>
    <xdr:sp macro="" textlink="">
      <xdr:nvSpPr>
        <xdr:cNvPr id="48" name="Arrow: Down 47">
          <a:extLst>
            <a:ext uri="{FF2B5EF4-FFF2-40B4-BE49-F238E27FC236}">
              <a16:creationId xmlns:a16="http://schemas.microsoft.com/office/drawing/2014/main" id="{B13DC33E-B4F7-4D0A-9A35-9A05904AFC35}"/>
            </a:ext>
          </a:extLst>
        </xdr:cNvPr>
        <xdr:cNvSpPr/>
      </xdr:nvSpPr>
      <xdr:spPr>
        <a:xfrm>
          <a:off x="17373600" y="135255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304800</xdr:colOff>
      <xdr:row>16</xdr:row>
      <xdr:rowOff>85725</xdr:rowOff>
    </xdr:from>
    <xdr:to>
      <xdr:col>23</xdr:col>
      <xdr:colOff>350519</xdr:colOff>
      <xdr:row>16</xdr:row>
      <xdr:rowOff>200025</xdr:rowOff>
    </xdr:to>
    <xdr:sp macro="" textlink="">
      <xdr:nvSpPr>
        <xdr:cNvPr id="49" name="Arrow: Down 48">
          <a:extLst>
            <a:ext uri="{FF2B5EF4-FFF2-40B4-BE49-F238E27FC236}">
              <a16:creationId xmlns:a16="http://schemas.microsoft.com/office/drawing/2014/main" id="{EC83D474-3B8A-47CD-9C66-1FD82A354312}"/>
            </a:ext>
          </a:extLst>
        </xdr:cNvPr>
        <xdr:cNvSpPr/>
      </xdr:nvSpPr>
      <xdr:spPr>
        <a:xfrm>
          <a:off x="17383125" y="39338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295275</xdr:colOff>
      <xdr:row>22</xdr:row>
      <xdr:rowOff>38100</xdr:rowOff>
    </xdr:from>
    <xdr:to>
      <xdr:col>23</xdr:col>
      <xdr:colOff>340994</xdr:colOff>
      <xdr:row>22</xdr:row>
      <xdr:rowOff>152400</xdr:rowOff>
    </xdr:to>
    <xdr:sp macro="" textlink="">
      <xdr:nvSpPr>
        <xdr:cNvPr id="51" name="Arrow: Down 50">
          <a:extLst>
            <a:ext uri="{FF2B5EF4-FFF2-40B4-BE49-F238E27FC236}">
              <a16:creationId xmlns:a16="http://schemas.microsoft.com/office/drawing/2014/main" id="{3DD5E0E7-397B-4D3D-9385-A48F9C22CAAD}"/>
            </a:ext>
          </a:extLst>
        </xdr:cNvPr>
        <xdr:cNvSpPr/>
      </xdr:nvSpPr>
      <xdr:spPr>
        <a:xfrm>
          <a:off x="17373600" y="51054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304800</xdr:colOff>
      <xdr:row>23</xdr:row>
      <xdr:rowOff>38100</xdr:rowOff>
    </xdr:from>
    <xdr:to>
      <xdr:col>23</xdr:col>
      <xdr:colOff>350519</xdr:colOff>
      <xdr:row>23</xdr:row>
      <xdr:rowOff>152400</xdr:rowOff>
    </xdr:to>
    <xdr:sp macro="" textlink="">
      <xdr:nvSpPr>
        <xdr:cNvPr id="53" name="Arrow: Down 52">
          <a:extLst>
            <a:ext uri="{FF2B5EF4-FFF2-40B4-BE49-F238E27FC236}">
              <a16:creationId xmlns:a16="http://schemas.microsoft.com/office/drawing/2014/main" id="{10696300-F51B-4FA3-8E06-417DB63632C2}"/>
            </a:ext>
          </a:extLst>
        </xdr:cNvPr>
        <xdr:cNvSpPr/>
      </xdr:nvSpPr>
      <xdr:spPr>
        <a:xfrm>
          <a:off x="17383125" y="52959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295275</xdr:colOff>
      <xdr:row>19</xdr:row>
      <xdr:rowOff>38100</xdr:rowOff>
    </xdr:from>
    <xdr:to>
      <xdr:col>23</xdr:col>
      <xdr:colOff>340994</xdr:colOff>
      <xdr:row>19</xdr:row>
      <xdr:rowOff>152400</xdr:rowOff>
    </xdr:to>
    <xdr:sp macro="" textlink="">
      <xdr:nvSpPr>
        <xdr:cNvPr id="54" name="Arrow: Down 53">
          <a:extLst>
            <a:ext uri="{FF2B5EF4-FFF2-40B4-BE49-F238E27FC236}">
              <a16:creationId xmlns:a16="http://schemas.microsoft.com/office/drawing/2014/main" id="{A95F5EC2-2A71-46ED-BA98-7FF1C47FFA83}"/>
            </a:ext>
          </a:extLst>
        </xdr:cNvPr>
        <xdr:cNvSpPr/>
      </xdr:nvSpPr>
      <xdr:spPr>
        <a:xfrm>
          <a:off x="17373600" y="48387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314325</xdr:colOff>
      <xdr:row>10</xdr:row>
      <xdr:rowOff>47625</xdr:rowOff>
    </xdr:from>
    <xdr:to>
      <xdr:col>23</xdr:col>
      <xdr:colOff>360044</xdr:colOff>
      <xdr:row>10</xdr:row>
      <xdr:rowOff>161925</xdr:rowOff>
    </xdr:to>
    <xdr:sp macro="" textlink="">
      <xdr:nvSpPr>
        <xdr:cNvPr id="56" name="Arrow: Down 55">
          <a:extLst>
            <a:ext uri="{FF2B5EF4-FFF2-40B4-BE49-F238E27FC236}">
              <a16:creationId xmlns:a16="http://schemas.microsoft.com/office/drawing/2014/main" id="{8340FF19-34DB-4E1B-9BE5-92A1A5897EB1}"/>
            </a:ext>
          </a:extLst>
        </xdr:cNvPr>
        <xdr:cNvSpPr/>
      </xdr:nvSpPr>
      <xdr:spPr>
        <a:xfrm rot="10800000">
          <a:off x="17392650" y="26765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323850</xdr:colOff>
      <xdr:row>7</xdr:row>
      <xdr:rowOff>38100</xdr:rowOff>
    </xdr:from>
    <xdr:to>
      <xdr:col>23</xdr:col>
      <xdr:colOff>369569</xdr:colOff>
      <xdr:row>7</xdr:row>
      <xdr:rowOff>152400</xdr:rowOff>
    </xdr:to>
    <xdr:sp macro="" textlink="">
      <xdr:nvSpPr>
        <xdr:cNvPr id="57" name="Arrow: Down 56">
          <a:extLst>
            <a:ext uri="{FF2B5EF4-FFF2-40B4-BE49-F238E27FC236}">
              <a16:creationId xmlns:a16="http://schemas.microsoft.com/office/drawing/2014/main" id="{803A7F00-5613-4D7B-A73C-1237524224F6}"/>
            </a:ext>
          </a:extLst>
        </xdr:cNvPr>
        <xdr:cNvSpPr/>
      </xdr:nvSpPr>
      <xdr:spPr>
        <a:xfrm rot="10800000">
          <a:off x="17402175" y="28575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314325</xdr:colOff>
      <xdr:row>11</xdr:row>
      <xdr:rowOff>28575</xdr:rowOff>
    </xdr:from>
    <xdr:to>
      <xdr:col>23</xdr:col>
      <xdr:colOff>360044</xdr:colOff>
      <xdr:row>11</xdr:row>
      <xdr:rowOff>142875</xdr:rowOff>
    </xdr:to>
    <xdr:sp macro="" textlink="">
      <xdr:nvSpPr>
        <xdr:cNvPr id="58" name="Arrow: Down 57">
          <a:extLst>
            <a:ext uri="{FF2B5EF4-FFF2-40B4-BE49-F238E27FC236}">
              <a16:creationId xmlns:a16="http://schemas.microsoft.com/office/drawing/2014/main" id="{8EA08390-3CDF-4BBA-8BD5-4825FCC0ADC5}"/>
            </a:ext>
          </a:extLst>
        </xdr:cNvPr>
        <xdr:cNvSpPr/>
      </xdr:nvSpPr>
      <xdr:spPr>
        <a:xfrm rot="10800000">
          <a:off x="17392650" y="284797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314325</xdr:colOff>
      <xdr:row>6</xdr:row>
      <xdr:rowOff>38100</xdr:rowOff>
    </xdr:from>
    <xdr:to>
      <xdr:col>23</xdr:col>
      <xdr:colOff>360044</xdr:colOff>
      <xdr:row>6</xdr:row>
      <xdr:rowOff>152400</xdr:rowOff>
    </xdr:to>
    <xdr:sp macro="" textlink="">
      <xdr:nvSpPr>
        <xdr:cNvPr id="60" name="Arrow: Down 59">
          <a:extLst>
            <a:ext uri="{FF2B5EF4-FFF2-40B4-BE49-F238E27FC236}">
              <a16:creationId xmlns:a16="http://schemas.microsoft.com/office/drawing/2014/main" id="{A2DE813C-47C5-4359-B97C-A2620D0E114F}"/>
            </a:ext>
          </a:extLst>
        </xdr:cNvPr>
        <xdr:cNvSpPr/>
      </xdr:nvSpPr>
      <xdr:spPr>
        <a:xfrm rot="10800000">
          <a:off x="17278350" y="19050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314325</xdr:colOff>
      <xdr:row>9</xdr:row>
      <xdr:rowOff>57150</xdr:rowOff>
    </xdr:from>
    <xdr:to>
      <xdr:col>23</xdr:col>
      <xdr:colOff>360044</xdr:colOff>
      <xdr:row>9</xdr:row>
      <xdr:rowOff>171450</xdr:rowOff>
    </xdr:to>
    <xdr:sp macro="" textlink="">
      <xdr:nvSpPr>
        <xdr:cNvPr id="61" name="Arrow: Down 60">
          <a:extLst>
            <a:ext uri="{FF2B5EF4-FFF2-40B4-BE49-F238E27FC236}">
              <a16:creationId xmlns:a16="http://schemas.microsoft.com/office/drawing/2014/main" id="{C01789B1-CF43-4BE6-923E-FAA0F15967D0}"/>
            </a:ext>
          </a:extLst>
        </xdr:cNvPr>
        <xdr:cNvSpPr/>
      </xdr:nvSpPr>
      <xdr:spPr>
        <a:xfrm rot="10800000">
          <a:off x="17278350" y="211455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304800</xdr:colOff>
      <xdr:row>24</xdr:row>
      <xdr:rowOff>38100</xdr:rowOff>
    </xdr:from>
    <xdr:to>
      <xdr:col>23</xdr:col>
      <xdr:colOff>350519</xdr:colOff>
      <xdr:row>24</xdr:row>
      <xdr:rowOff>152400</xdr:rowOff>
    </xdr:to>
    <xdr:sp macro="" textlink="">
      <xdr:nvSpPr>
        <xdr:cNvPr id="63" name="Arrow: Down 62">
          <a:extLst>
            <a:ext uri="{FF2B5EF4-FFF2-40B4-BE49-F238E27FC236}">
              <a16:creationId xmlns:a16="http://schemas.microsoft.com/office/drawing/2014/main" id="{4DFC4927-0FC9-4C43-9A03-6A9890CFE59F}"/>
            </a:ext>
          </a:extLst>
        </xdr:cNvPr>
        <xdr:cNvSpPr/>
      </xdr:nvSpPr>
      <xdr:spPr>
        <a:xfrm rot="10800000">
          <a:off x="17268825" y="55245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304800</xdr:colOff>
      <xdr:row>5</xdr:row>
      <xdr:rowOff>38100</xdr:rowOff>
    </xdr:from>
    <xdr:to>
      <xdr:col>23</xdr:col>
      <xdr:colOff>350519</xdr:colOff>
      <xdr:row>5</xdr:row>
      <xdr:rowOff>152400</xdr:rowOff>
    </xdr:to>
    <xdr:sp macro="" textlink="">
      <xdr:nvSpPr>
        <xdr:cNvPr id="64" name="Arrow: Down 63">
          <a:extLst>
            <a:ext uri="{FF2B5EF4-FFF2-40B4-BE49-F238E27FC236}">
              <a16:creationId xmlns:a16="http://schemas.microsoft.com/office/drawing/2014/main" id="{9670D14C-EF7E-41EF-B70F-DBBD13BFFD16}"/>
            </a:ext>
          </a:extLst>
        </xdr:cNvPr>
        <xdr:cNvSpPr/>
      </xdr:nvSpPr>
      <xdr:spPr>
        <a:xfrm rot="10800000">
          <a:off x="17383125" y="17145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209550</xdr:colOff>
      <xdr:row>15</xdr:row>
      <xdr:rowOff>66675</xdr:rowOff>
    </xdr:from>
    <xdr:to>
      <xdr:col>23</xdr:col>
      <xdr:colOff>409575</xdr:colOff>
      <xdr:row>15</xdr:row>
      <xdr:rowOff>123825</xdr:rowOff>
    </xdr:to>
    <xdr:sp macro="" textlink="">
      <xdr:nvSpPr>
        <xdr:cNvPr id="67" name="Arrow: Left-Right 66">
          <a:extLst>
            <a:ext uri="{FF2B5EF4-FFF2-40B4-BE49-F238E27FC236}">
              <a16:creationId xmlns:a16="http://schemas.microsoft.com/office/drawing/2014/main" id="{CA3C0A65-0F67-4F0A-8760-9E23FE43DC6B}"/>
            </a:ext>
          </a:extLst>
        </xdr:cNvPr>
        <xdr:cNvSpPr/>
      </xdr:nvSpPr>
      <xdr:spPr>
        <a:xfrm>
          <a:off x="17287875" y="37242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a:p>
      </xdr:txBody>
    </xdr:sp>
    <xdr:clientData/>
  </xdr:twoCellAnchor>
  <xdr:twoCellAnchor>
    <xdr:from>
      <xdr:col>23</xdr:col>
      <xdr:colOff>209550</xdr:colOff>
      <xdr:row>14</xdr:row>
      <xdr:rowOff>85725</xdr:rowOff>
    </xdr:from>
    <xdr:to>
      <xdr:col>23</xdr:col>
      <xdr:colOff>409575</xdr:colOff>
      <xdr:row>14</xdr:row>
      <xdr:rowOff>142875</xdr:rowOff>
    </xdr:to>
    <xdr:sp macro="" textlink="">
      <xdr:nvSpPr>
        <xdr:cNvPr id="69" name="Arrow: Left-Right 68">
          <a:extLst>
            <a:ext uri="{FF2B5EF4-FFF2-40B4-BE49-F238E27FC236}">
              <a16:creationId xmlns:a16="http://schemas.microsoft.com/office/drawing/2014/main" id="{A1C46A32-8431-42FC-A83C-901A991030C9}"/>
            </a:ext>
          </a:extLst>
        </xdr:cNvPr>
        <xdr:cNvSpPr/>
      </xdr:nvSpPr>
      <xdr:spPr>
        <a:xfrm>
          <a:off x="17287875" y="355282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247650</xdr:colOff>
      <xdr:row>27</xdr:row>
      <xdr:rowOff>47625</xdr:rowOff>
    </xdr:from>
    <xdr:to>
      <xdr:col>23</xdr:col>
      <xdr:colOff>447675</xdr:colOff>
      <xdr:row>27</xdr:row>
      <xdr:rowOff>104775</xdr:rowOff>
    </xdr:to>
    <xdr:sp macro="" textlink="">
      <xdr:nvSpPr>
        <xdr:cNvPr id="72" name="Arrow: Left-Right 71">
          <a:extLst>
            <a:ext uri="{FF2B5EF4-FFF2-40B4-BE49-F238E27FC236}">
              <a16:creationId xmlns:a16="http://schemas.microsoft.com/office/drawing/2014/main" id="{0D8E68C4-F1A7-4C4B-93F8-211807C727F0}"/>
            </a:ext>
          </a:extLst>
        </xdr:cNvPr>
        <xdr:cNvSpPr/>
      </xdr:nvSpPr>
      <xdr:spPr>
        <a:xfrm>
          <a:off x="17325975" y="606742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a:p>
      </xdr:txBody>
    </xdr:sp>
    <xdr:clientData/>
  </xdr:twoCellAnchor>
  <xdr:twoCellAnchor>
    <xdr:from>
      <xdr:col>23</xdr:col>
      <xdr:colOff>209550</xdr:colOff>
      <xdr:row>12</xdr:row>
      <xdr:rowOff>123825</xdr:rowOff>
    </xdr:from>
    <xdr:to>
      <xdr:col>23</xdr:col>
      <xdr:colOff>409575</xdr:colOff>
      <xdr:row>12</xdr:row>
      <xdr:rowOff>180975</xdr:rowOff>
    </xdr:to>
    <xdr:sp macro="" textlink="">
      <xdr:nvSpPr>
        <xdr:cNvPr id="73" name="Arrow: Left-Right 72">
          <a:extLst>
            <a:ext uri="{FF2B5EF4-FFF2-40B4-BE49-F238E27FC236}">
              <a16:creationId xmlns:a16="http://schemas.microsoft.com/office/drawing/2014/main" id="{E0D00BAF-C826-4881-ABC1-904528F30CEF}"/>
            </a:ext>
          </a:extLst>
        </xdr:cNvPr>
        <xdr:cNvSpPr/>
      </xdr:nvSpPr>
      <xdr:spPr>
        <a:xfrm>
          <a:off x="17287875" y="313372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209550</xdr:colOff>
      <xdr:row>13</xdr:row>
      <xdr:rowOff>57150</xdr:rowOff>
    </xdr:from>
    <xdr:to>
      <xdr:col>23</xdr:col>
      <xdr:colOff>409575</xdr:colOff>
      <xdr:row>13</xdr:row>
      <xdr:rowOff>114300</xdr:rowOff>
    </xdr:to>
    <xdr:sp macro="" textlink="">
      <xdr:nvSpPr>
        <xdr:cNvPr id="74" name="Arrow: Left-Right 73">
          <a:extLst>
            <a:ext uri="{FF2B5EF4-FFF2-40B4-BE49-F238E27FC236}">
              <a16:creationId xmlns:a16="http://schemas.microsoft.com/office/drawing/2014/main" id="{E31D5ECC-08A0-49E1-848D-83E11E3CDDC8}"/>
            </a:ext>
          </a:extLst>
        </xdr:cNvPr>
        <xdr:cNvSpPr/>
      </xdr:nvSpPr>
      <xdr:spPr>
        <a:xfrm>
          <a:off x="17287875" y="333375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209550</xdr:colOff>
      <xdr:row>21</xdr:row>
      <xdr:rowOff>76200</xdr:rowOff>
    </xdr:from>
    <xdr:to>
      <xdr:col>23</xdr:col>
      <xdr:colOff>409575</xdr:colOff>
      <xdr:row>21</xdr:row>
      <xdr:rowOff>133350</xdr:rowOff>
    </xdr:to>
    <xdr:sp macro="" textlink="">
      <xdr:nvSpPr>
        <xdr:cNvPr id="75" name="Arrow: Left-Right 74">
          <a:extLst>
            <a:ext uri="{FF2B5EF4-FFF2-40B4-BE49-F238E27FC236}">
              <a16:creationId xmlns:a16="http://schemas.microsoft.com/office/drawing/2014/main" id="{CF41F3CE-D6D3-4ECA-8D3B-07EF2B276210}"/>
            </a:ext>
          </a:extLst>
        </xdr:cNvPr>
        <xdr:cNvSpPr/>
      </xdr:nvSpPr>
      <xdr:spPr>
        <a:xfrm>
          <a:off x="17287875" y="495300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15</xdr:row>
      <xdr:rowOff>47625</xdr:rowOff>
    </xdr:from>
    <xdr:to>
      <xdr:col>36</xdr:col>
      <xdr:colOff>340994</xdr:colOff>
      <xdr:row>15</xdr:row>
      <xdr:rowOff>161925</xdr:rowOff>
    </xdr:to>
    <xdr:sp macro="" textlink="">
      <xdr:nvSpPr>
        <xdr:cNvPr id="78" name="Arrow: Down 77">
          <a:extLst>
            <a:ext uri="{FF2B5EF4-FFF2-40B4-BE49-F238E27FC236}">
              <a16:creationId xmlns:a16="http://schemas.microsoft.com/office/drawing/2014/main" id="{3E9113E1-36D6-40DB-84E8-BA0DD3E0C0EC}"/>
            </a:ext>
          </a:extLst>
        </xdr:cNvPr>
        <xdr:cNvSpPr/>
      </xdr:nvSpPr>
      <xdr:spPr>
        <a:xfrm>
          <a:off x="29317950" y="40862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304800</xdr:colOff>
      <xdr:row>20</xdr:row>
      <xdr:rowOff>38100</xdr:rowOff>
    </xdr:from>
    <xdr:to>
      <xdr:col>36</xdr:col>
      <xdr:colOff>350519</xdr:colOff>
      <xdr:row>20</xdr:row>
      <xdr:rowOff>152400</xdr:rowOff>
    </xdr:to>
    <xdr:sp macro="" textlink="">
      <xdr:nvSpPr>
        <xdr:cNvPr id="80" name="Arrow: Down 79">
          <a:extLst>
            <a:ext uri="{FF2B5EF4-FFF2-40B4-BE49-F238E27FC236}">
              <a16:creationId xmlns:a16="http://schemas.microsoft.com/office/drawing/2014/main" id="{2C3BA7F3-BBC5-472B-9290-F97F19038694}"/>
            </a:ext>
          </a:extLst>
        </xdr:cNvPr>
        <xdr:cNvSpPr/>
      </xdr:nvSpPr>
      <xdr:spPr>
        <a:xfrm>
          <a:off x="29327475" y="50292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304800</xdr:colOff>
      <xdr:row>19</xdr:row>
      <xdr:rowOff>47625</xdr:rowOff>
    </xdr:from>
    <xdr:to>
      <xdr:col>36</xdr:col>
      <xdr:colOff>350519</xdr:colOff>
      <xdr:row>19</xdr:row>
      <xdr:rowOff>161925</xdr:rowOff>
    </xdr:to>
    <xdr:sp macro="" textlink="">
      <xdr:nvSpPr>
        <xdr:cNvPr id="81" name="Arrow: Down 80">
          <a:extLst>
            <a:ext uri="{FF2B5EF4-FFF2-40B4-BE49-F238E27FC236}">
              <a16:creationId xmlns:a16="http://schemas.microsoft.com/office/drawing/2014/main" id="{0A1F0183-380B-4961-95EF-9689E3562F91}"/>
            </a:ext>
          </a:extLst>
        </xdr:cNvPr>
        <xdr:cNvSpPr/>
      </xdr:nvSpPr>
      <xdr:spPr>
        <a:xfrm>
          <a:off x="29327475" y="45434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285750</xdr:colOff>
      <xdr:row>16</xdr:row>
      <xdr:rowOff>76200</xdr:rowOff>
    </xdr:from>
    <xdr:to>
      <xdr:col>36</xdr:col>
      <xdr:colOff>331469</xdr:colOff>
      <xdr:row>16</xdr:row>
      <xdr:rowOff>190500</xdr:rowOff>
    </xdr:to>
    <xdr:sp macro="" textlink="">
      <xdr:nvSpPr>
        <xdr:cNvPr id="82" name="Arrow: Down 81">
          <a:extLst>
            <a:ext uri="{FF2B5EF4-FFF2-40B4-BE49-F238E27FC236}">
              <a16:creationId xmlns:a16="http://schemas.microsoft.com/office/drawing/2014/main" id="{503342B5-E5DC-4E32-A9B9-DF4CEA110467}"/>
            </a:ext>
          </a:extLst>
        </xdr:cNvPr>
        <xdr:cNvSpPr/>
      </xdr:nvSpPr>
      <xdr:spPr>
        <a:xfrm>
          <a:off x="29308425" y="39243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285750</xdr:colOff>
      <xdr:row>17</xdr:row>
      <xdr:rowOff>47625</xdr:rowOff>
    </xdr:from>
    <xdr:to>
      <xdr:col>36</xdr:col>
      <xdr:colOff>331469</xdr:colOff>
      <xdr:row>17</xdr:row>
      <xdr:rowOff>161925</xdr:rowOff>
    </xdr:to>
    <xdr:sp macro="" textlink="">
      <xdr:nvSpPr>
        <xdr:cNvPr id="83" name="Arrow: Down 82">
          <a:extLst>
            <a:ext uri="{FF2B5EF4-FFF2-40B4-BE49-F238E27FC236}">
              <a16:creationId xmlns:a16="http://schemas.microsoft.com/office/drawing/2014/main" id="{BBB4DFD3-4129-4338-A2F3-4017B436A04E}"/>
            </a:ext>
          </a:extLst>
        </xdr:cNvPr>
        <xdr:cNvSpPr/>
      </xdr:nvSpPr>
      <xdr:spPr>
        <a:xfrm>
          <a:off x="29308425" y="41624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18</xdr:row>
      <xdr:rowOff>28575</xdr:rowOff>
    </xdr:from>
    <xdr:to>
      <xdr:col>36</xdr:col>
      <xdr:colOff>340994</xdr:colOff>
      <xdr:row>18</xdr:row>
      <xdr:rowOff>142875</xdr:rowOff>
    </xdr:to>
    <xdr:sp macro="" textlink="">
      <xdr:nvSpPr>
        <xdr:cNvPr id="84" name="Arrow: Down 83">
          <a:extLst>
            <a:ext uri="{FF2B5EF4-FFF2-40B4-BE49-F238E27FC236}">
              <a16:creationId xmlns:a16="http://schemas.microsoft.com/office/drawing/2014/main" id="{44460FB1-01F7-44C8-8642-7957795EACA0}"/>
            </a:ext>
          </a:extLst>
        </xdr:cNvPr>
        <xdr:cNvSpPr/>
      </xdr:nvSpPr>
      <xdr:spPr>
        <a:xfrm>
          <a:off x="29317950" y="433387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304800</xdr:colOff>
      <xdr:row>9</xdr:row>
      <xdr:rowOff>47625</xdr:rowOff>
    </xdr:from>
    <xdr:to>
      <xdr:col>36</xdr:col>
      <xdr:colOff>350519</xdr:colOff>
      <xdr:row>9</xdr:row>
      <xdr:rowOff>161925</xdr:rowOff>
    </xdr:to>
    <xdr:sp macro="" textlink="">
      <xdr:nvSpPr>
        <xdr:cNvPr id="85" name="Arrow: Down 84">
          <a:extLst>
            <a:ext uri="{FF2B5EF4-FFF2-40B4-BE49-F238E27FC236}">
              <a16:creationId xmlns:a16="http://schemas.microsoft.com/office/drawing/2014/main" id="{496BE87C-F35E-4CEB-B0A9-7A34D0180269}"/>
            </a:ext>
          </a:extLst>
        </xdr:cNvPr>
        <xdr:cNvSpPr/>
      </xdr:nvSpPr>
      <xdr:spPr>
        <a:xfrm rot="10800000">
          <a:off x="29327475" y="28670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7</xdr:row>
      <xdr:rowOff>47625</xdr:rowOff>
    </xdr:from>
    <xdr:to>
      <xdr:col>36</xdr:col>
      <xdr:colOff>340994</xdr:colOff>
      <xdr:row>7</xdr:row>
      <xdr:rowOff>161925</xdr:rowOff>
    </xdr:to>
    <xdr:sp macro="" textlink="">
      <xdr:nvSpPr>
        <xdr:cNvPr id="87" name="Arrow: Down 86">
          <a:extLst>
            <a:ext uri="{FF2B5EF4-FFF2-40B4-BE49-F238E27FC236}">
              <a16:creationId xmlns:a16="http://schemas.microsoft.com/office/drawing/2014/main" id="{4CCA976D-4C61-4E09-8DF5-ECA8CD68B591}"/>
            </a:ext>
          </a:extLst>
        </xdr:cNvPr>
        <xdr:cNvSpPr/>
      </xdr:nvSpPr>
      <xdr:spPr>
        <a:xfrm rot="10800000">
          <a:off x="17373600" y="17240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11</xdr:row>
      <xdr:rowOff>47625</xdr:rowOff>
    </xdr:from>
    <xdr:to>
      <xdr:col>36</xdr:col>
      <xdr:colOff>340994</xdr:colOff>
      <xdr:row>11</xdr:row>
      <xdr:rowOff>161925</xdr:rowOff>
    </xdr:to>
    <xdr:sp macro="" textlink="">
      <xdr:nvSpPr>
        <xdr:cNvPr id="89" name="Arrow: Down 88">
          <a:extLst>
            <a:ext uri="{FF2B5EF4-FFF2-40B4-BE49-F238E27FC236}">
              <a16:creationId xmlns:a16="http://schemas.microsoft.com/office/drawing/2014/main" id="{1D5C4001-0276-4263-A859-CDD3ECF7A9DC}"/>
            </a:ext>
          </a:extLst>
        </xdr:cNvPr>
        <xdr:cNvSpPr/>
      </xdr:nvSpPr>
      <xdr:spPr>
        <a:xfrm rot="10800000">
          <a:off x="29317950" y="24860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304800</xdr:colOff>
      <xdr:row>6</xdr:row>
      <xdr:rowOff>28575</xdr:rowOff>
    </xdr:from>
    <xdr:to>
      <xdr:col>36</xdr:col>
      <xdr:colOff>350519</xdr:colOff>
      <xdr:row>6</xdr:row>
      <xdr:rowOff>142875</xdr:rowOff>
    </xdr:to>
    <xdr:sp macro="" textlink="">
      <xdr:nvSpPr>
        <xdr:cNvPr id="90" name="Arrow: Down 89">
          <a:extLst>
            <a:ext uri="{FF2B5EF4-FFF2-40B4-BE49-F238E27FC236}">
              <a16:creationId xmlns:a16="http://schemas.microsoft.com/office/drawing/2014/main" id="{E1967A6A-6E7F-4ED5-9F09-5AB924DDFA6B}"/>
            </a:ext>
          </a:extLst>
        </xdr:cNvPr>
        <xdr:cNvSpPr/>
      </xdr:nvSpPr>
      <xdr:spPr>
        <a:xfrm rot="10800000">
          <a:off x="29327475" y="208597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228600</xdr:colOff>
      <xdr:row>12</xdr:row>
      <xdr:rowOff>114300</xdr:rowOff>
    </xdr:from>
    <xdr:to>
      <xdr:col>36</xdr:col>
      <xdr:colOff>428625</xdr:colOff>
      <xdr:row>12</xdr:row>
      <xdr:rowOff>171450</xdr:rowOff>
    </xdr:to>
    <xdr:sp macro="" textlink="">
      <xdr:nvSpPr>
        <xdr:cNvPr id="94" name="Arrow: Left-Right 93">
          <a:extLst>
            <a:ext uri="{FF2B5EF4-FFF2-40B4-BE49-F238E27FC236}">
              <a16:creationId xmlns:a16="http://schemas.microsoft.com/office/drawing/2014/main" id="{4CD094B5-0873-4C91-8EB3-40BE47EC9534}"/>
            </a:ext>
          </a:extLst>
        </xdr:cNvPr>
        <xdr:cNvSpPr/>
      </xdr:nvSpPr>
      <xdr:spPr>
        <a:xfrm>
          <a:off x="29251275" y="312420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228600</xdr:colOff>
      <xdr:row>22</xdr:row>
      <xdr:rowOff>57150</xdr:rowOff>
    </xdr:from>
    <xdr:to>
      <xdr:col>36</xdr:col>
      <xdr:colOff>428625</xdr:colOff>
      <xdr:row>22</xdr:row>
      <xdr:rowOff>114300</xdr:rowOff>
    </xdr:to>
    <xdr:sp macro="" textlink="">
      <xdr:nvSpPr>
        <xdr:cNvPr id="98" name="Arrow: Left-Right 97">
          <a:extLst>
            <a:ext uri="{FF2B5EF4-FFF2-40B4-BE49-F238E27FC236}">
              <a16:creationId xmlns:a16="http://schemas.microsoft.com/office/drawing/2014/main" id="{558C93FA-3BCD-49A5-ADDD-97C91D5A63EB}"/>
            </a:ext>
          </a:extLst>
        </xdr:cNvPr>
        <xdr:cNvSpPr/>
      </xdr:nvSpPr>
      <xdr:spPr>
        <a:xfrm>
          <a:off x="29251275" y="638175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219075</xdr:colOff>
      <xdr:row>4</xdr:row>
      <xdr:rowOff>66675</xdr:rowOff>
    </xdr:from>
    <xdr:to>
      <xdr:col>36</xdr:col>
      <xdr:colOff>419100</xdr:colOff>
      <xdr:row>4</xdr:row>
      <xdr:rowOff>123825</xdr:rowOff>
    </xdr:to>
    <xdr:sp macro="" textlink="">
      <xdr:nvSpPr>
        <xdr:cNvPr id="101" name="Arrow: Left-Right 100">
          <a:extLst>
            <a:ext uri="{FF2B5EF4-FFF2-40B4-BE49-F238E27FC236}">
              <a16:creationId xmlns:a16="http://schemas.microsoft.com/office/drawing/2014/main" id="{E2627BCD-39C1-484D-BE7B-9F4B69350124}"/>
            </a:ext>
          </a:extLst>
        </xdr:cNvPr>
        <xdr:cNvSpPr/>
      </xdr:nvSpPr>
      <xdr:spPr>
        <a:xfrm>
          <a:off x="29241750" y="15525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228600</xdr:colOff>
      <xdr:row>13</xdr:row>
      <xdr:rowOff>66675</xdr:rowOff>
    </xdr:from>
    <xdr:to>
      <xdr:col>36</xdr:col>
      <xdr:colOff>428625</xdr:colOff>
      <xdr:row>13</xdr:row>
      <xdr:rowOff>123825</xdr:rowOff>
    </xdr:to>
    <xdr:sp macro="" textlink="">
      <xdr:nvSpPr>
        <xdr:cNvPr id="102" name="Arrow: Left-Right 101">
          <a:extLst>
            <a:ext uri="{FF2B5EF4-FFF2-40B4-BE49-F238E27FC236}">
              <a16:creationId xmlns:a16="http://schemas.microsoft.com/office/drawing/2014/main" id="{161EC9E2-E0FE-4BAB-9520-2704065CCE2E}"/>
            </a:ext>
          </a:extLst>
        </xdr:cNvPr>
        <xdr:cNvSpPr/>
      </xdr:nvSpPr>
      <xdr:spPr>
        <a:xfrm>
          <a:off x="29251275" y="33432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23</xdr:row>
      <xdr:rowOff>38100</xdr:rowOff>
    </xdr:from>
    <xdr:to>
      <xdr:col>36</xdr:col>
      <xdr:colOff>340994</xdr:colOff>
      <xdr:row>23</xdr:row>
      <xdr:rowOff>152400</xdr:rowOff>
    </xdr:to>
    <xdr:sp macro="" textlink="">
      <xdr:nvSpPr>
        <xdr:cNvPr id="106" name="Arrow: Down 105">
          <a:extLst>
            <a:ext uri="{FF2B5EF4-FFF2-40B4-BE49-F238E27FC236}">
              <a16:creationId xmlns:a16="http://schemas.microsoft.com/office/drawing/2014/main" id="{BF877E37-877C-4619-921D-0E9877E65D29}"/>
            </a:ext>
          </a:extLst>
        </xdr:cNvPr>
        <xdr:cNvSpPr/>
      </xdr:nvSpPr>
      <xdr:spPr>
        <a:xfrm>
          <a:off x="29317950" y="52959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228600</xdr:colOff>
      <xdr:row>12</xdr:row>
      <xdr:rowOff>95250</xdr:rowOff>
    </xdr:from>
    <xdr:to>
      <xdr:col>10</xdr:col>
      <xdr:colOff>428625</xdr:colOff>
      <xdr:row>12</xdr:row>
      <xdr:rowOff>152400</xdr:rowOff>
    </xdr:to>
    <xdr:sp macro="" textlink="">
      <xdr:nvSpPr>
        <xdr:cNvPr id="107" name="Arrow: Left-Right 106">
          <a:extLst>
            <a:ext uri="{FF2B5EF4-FFF2-40B4-BE49-F238E27FC236}">
              <a16:creationId xmlns:a16="http://schemas.microsoft.com/office/drawing/2014/main" id="{ADAFC10A-DAD9-40B6-89E4-54363E6430D3}"/>
            </a:ext>
          </a:extLst>
        </xdr:cNvPr>
        <xdr:cNvSpPr/>
      </xdr:nvSpPr>
      <xdr:spPr>
        <a:xfrm>
          <a:off x="10953750" y="310515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323850</xdr:colOff>
      <xdr:row>25</xdr:row>
      <xdr:rowOff>38100</xdr:rowOff>
    </xdr:from>
    <xdr:to>
      <xdr:col>10</xdr:col>
      <xdr:colOff>369569</xdr:colOff>
      <xdr:row>25</xdr:row>
      <xdr:rowOff>152400</xdr:rowOff>
    </xdr:to>
    <xdr:sp macro="" textlink="">
      <xdr:nvSpPr>
        <xdr:cNvPr id="110" name="Arrow: Down 109">
          <a:extLst>
            <a:ext uri="{FF2B5EF4-FFF2-40B4-BE49-F238E27FC236}">
              <a16:creationId xmlns:a16="http://schemas.microsoft.com/office/drawing/2014/main" id="{6A0A1B6C-3AAA-4F9A-BF2F-F9F2FC486CBC}"/>
            </a:ext>
          </a:extLst>
        </xdr:cNvPr>
        <xdr:cNvSpPr/>
      </xdr:nvSpPr>
      <xdr:spPr>
        <a:xfrm rot="10800000">
          <a:off x="11049000" y="56007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304800</xdr:colOff>
      <xdr:row>11</xdr:row>
      <xdr:rowOff>28575</xdr:rowOff>
    </xdr:from>
    <xdr:to>
      <xdr:col>10</xdr:col>
      <xdr:colOff>350519</xdr:colOff>
      <xdr:row>11</xdr:row>
      <xdr:rowOff>142875</xdr:rowOff>
    </xdr:to>
    <xdr:sp macro="" textlink="">
      <xdr:nvSpPr>
        <xdr:cNvPr id="113" name="Arrow: Down 112">
          <a:extLst>
            <a:ext uri="{FF2B5EF4-FFF2-40B4-BE49-F238E27FC236}">
              <a16:creationId xmlns:a16="http://schemas.microsoft.com/office/drawing/2014/main" id="{9213A425-749B-44DE-AFDE-35C52296559E}"/>
            </a:ext>
          </a:extLst>
        </xdr:cNvPr>
        <xdr:cNvSpPr/>
      </xdr:nvSpPr>
      <xdr:spPr>
        <a:xfrm rot="10800000">
          <a:off x="11029950" y="284797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5</xdr:row>
      <xdr:rowOff>47625</xdr:rowOff>
    </xdr:from>
    <xdr:to>
      <xdr:col>36</xdr:col>
      <xdr:colOff>340994</xdr:colOff>
      <xdr:row>5</xdr:row>
      <xdr:rowOff>161925</xdr:rowOff>
    </xdr:to>
    <xdr:sp macro="" textlink="">
      <xdr:nvSpPr>
        <xdr:cNvPr id="116" name="Arrow: Down 115">
          <a:extLst>
            <a:ext uri="{FF2B5EF4-FFF2-40B4-BE49-F238E27FC236}">
              <a16:creationId xmlns:a16="http://schemas.microsoft.com/office/drawing/2014/main" id="{33E9C630-C6B0-4B1E-8089-779413C61849}"/>
            </a:ext>
          </a:extLst>
        </xdr:cNvPr>
        <xdr:cNvSpPr/>
      </xdr:nvSpPr>
      <xdr:spPr>
        <a:xfrm rot="10800000">
          <a:off x="29317950" y="17240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10</xdr:row>
      <xdr:rowOff>66675</xdr:rowOff>
    </xdr:from>
    <xdr:to>
      <xdr:col>36</xdr:col>
      <xdr:colOff>340994</xdr:colOff>
      <xdr:row>10</xdr:row>
      <xdr:rowOff>180975</xdr:rowOff>
    </xdr:to>
    <xdr:sp macro="" textlink="">
      <xdr:nvSpPr>
        <xdr:cNvPr id="119" name="Arrow: Down 118">
          <a:extLst>
            <a:ext uri="{FF2B5EF4-FFF2-40B4-BE49-F238E27FC236}">
              <a16:creationId xmlns:a16="http://schemas.microsoft.com/office/drawing/2014/main" id="{78A10AAC-4ED1-4EA4-9D13-A3DE4909B2BC}"/>
            </a:ext>
          </a:extLst>
        </xdr:cNvPr>
        <xdr:cNvSpPr/>
      </xdr:nvSpPr>
      <xdr:spPr>
        <a:xfrm rot="10800000">
          <a:off x="29317950" y="372427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14</xdr:row>
      <xdr:rowOff>47625</xdr:rowOff>
    </xdr:from>
    <xdr:to>
      <xdr:col>36</xdr:col>
      <xdr:colOff>340994</xdr:colOff>
      <xdr:row>14</xdr:row>
      <xdr:rowOff>161925</xdr:rowOff>
    </xdr:to>
    <xdr:sp macro="" textlink="">
      <xdr:nvSpPr>
        <xdr:cNvPr id="120" name="Arrow: Down 119">
          <a:extLst>
            <a:ext uri="{FF2B5EF4-FFF2-40B4-BE49-F238E27FC236}">
              <a16:creationId xmlns:a16="http://schemas.microsoft.com/office/drawing/2014/main" id="{7D376BF4-DCB1-48A2-98E9-8749292420E8}"/>
            </a:ext>
          </a:extLst>
        </xdr:cNvPr>
        <xdr:cNvSpPr/>
      </xdr:nvSpPr>
      <xdr:spPr>
        <a:xfrm rot="10800000">
          <a:off x="29317950" y="35147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295275</xdr:colOff>
      <xdr:row>3</xdr:row>
      <xdr:rowOff>47625</xdr:rowOff>
    </xdr:from>
    <xdr:to>
      <xdr:col>36</xdr:col>
      <xdr:colOff>340994</xdr:colOff>
      <xdr:row>3</xdr:row>
      <xdr:rowOff>161925</xdr:rowOff>
    </xdr:to>
    <xdr:sp macro="" textlink="">
      <xdr:nvSpPr>
        <xdr:cNvPr id="123" name="Arrow: Down 122">
          <a:extLst>
            <a:ext uri="{FF2B5EF4-FFF2-40B4-BE49-F238E27FC236}">
              <a16:creationId xmlns:a16="http://schemas.microsoft.com/office/drawing/2014/main" id="{22471348-4F8D-46B7-8724-1E52F30EC2BF}"/>
            </a:ext>
          </a:extLst>
        </xdr:cNvPr>
        <xdr:cNvSpPr/>
      </xdr:nvSpPr>
      <xdr:spPr>
        <a:xfrm>
          <a:off x="29317950" y="1343025"/>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295275</xdr:colOff>
      <xdr:row>20</xdr:row>
      <xdr:rowOff>38100</xdr:rowOff>
    </xdr:from>
    <xdr:to>
      <xdr:col>23</xdr:col>
      <xdr:colOff>340994</xdr:colOff>
      <xdr:row>20</xdr:row>
      <xdr:rowOff>152400</xdr:rowOff>
    </xdr:to>
    <xdr:sp macro="" textlink="">
      <xdr:nvSpPr>
        <xdr:cNvPr id="124" name="Arrow: Down 123">
          <a:extLst>
            <a:ext uri="{FF2B5EF4-FFF2-40B4-BE49-F238E27FC236}">
              <a16:creationId xmlns:a16="http://schemas.microsoft.com/office/drawing/2014/main" id="{F7D62DA9-7DEA-4C06-911C-22CCCAA6214F}"/>
            </a:ext>
          </a:extLst>
        </xdr:cNvPr>
        <xdr:cNvSpPr/>
      </xdr:nvSpPr>
      <xdr:spPr>
        <a:xfrm>
          <a:off x="17373600" y="1333500"/>
          <a:ext cx="45719" cy="114300"/>
        </a:xfrm>
        <a:prstGeom prst="downArrow">
          <a:avLst/>
        </a:prstGeom>
        <a:solidFill>
          <a:schemeClr val="accent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247650</xdr:colOff>
      <xdr:row>8</xdr:row>
      <xdr:rowOff>76200</xdr:rowOff>
    </xdr:from>
    <xdr:to>
      <xdr:col>23</xdr:col>
      <xdr:colOff>447675</xdr:colOff>
      <xdr:row>8</xdr:row>
      <xdr:rowOff>133350</xdr:rowOff>
    </xdr:to>
    <xdr:sp macro="" textlink="">
      <xdr:nvSpPr>
        <xdr:cNvPr id="125" name="Arrow: Left-Right 124">
          <a:extLst>
            <a:ext uri="{FF2B5EF4-FFF2-40B4-BE49-F238E27FC236}">
              <a16:creationId xmlns:a16="http://schemas.microsoft.com/office/drawing/2014/main" id="{5B7FAA27-A4A8-473B-9435-CB925F5FB513}"/>
            </a:ext>
          </a:extLst>
        </xdr:cNvPr>
        <xdr:cNvSpPr/>
      </xdr:nvSpPr>
      <xdr:spPr>
        <a:xfrm>
          <a:off x="17325975" y="232410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238125</xdr:colOff>
      <xdr:row>26</xdr:row>
      <xdr:rowOff>76200</xdr:rowOff>
    </xdr:from>
    <xdr:to>
      <xdr:col>23</xdr:col>
      <xdr:colOff>438150</xdr:colOff>
      <xdr:row>26</xdr:row>
      <xdr:rowOff>133350</xdr:rowOff>
    </xdr:to>
    <xdr:sp macro="" textlink="">
      <xdr:nvSpPr>
        <xdr:cNvPr id="126" name="Arrow: Left-Right 125">
          <a:extLst>
            <a:ext uri="{FF2B5EF4-FFF2-40B4-BE49-F238E27FC236}">
              <a16:creationId xmlns:a16="http://schemas.microsoft.com/office/drawing/2014/main" id="{0863E689-E536-49AB-B1D7-727135215779}"/>
            </a:ext>
          </a:extLst>
        </xdr:cNvPr>
        <xdr:cNvSpPr/>
      </xdr:nvSpPr>
      <xdr:spPr>
        <a:xfrm>
          <a:off x="17316450" y="590550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228600</xdr:colOff>
      <xdr:row>22</xdr:row>
      <xdr:rowOff>57150</xdr:rowOff>
    </xdr:from>
    <xdr:to>
      <xdr:col>10</xdr:col>
      <xdr:colOff>428625</xdr:colOff>
      <xdr:row>22</xdr:row>
      <xdr:rowOff>114300</xdr:rowOff>
    </xdr:to>
    <xdr:sp macro="" textlink="">
      <xdr:nvSpPr>
        <xdr:cNvPr id="127" name="Arrow: Left-Right 126">
          <a:extLst>
            <a:ext uri="{FF2B5EF4-FFF2-40B4-BE49-F238E27FC236}">
              <a16:creationId xmlns:a16="http://schemas.microsoft.com/office/drawing/2014/main" id="{2FE9844F-7FED-4480-A0D2-6426648C4805}"/>
            </a:ext>
          </a:extLst>
        </xdr:cNvPr>
        <xdr:cNvSpPr/>
      </xdr:nvSpPr>
      <xdr:spPr>
        <a:xfrm>
          <a:off x="10953750" y="512445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219075</xdr:colOff>
      <xdr:row>8</xdr:row>
      <xdr:rowOff>57150</xdr:rowOff>
    </xdr:from>
    <xdr:to>
      <xdr:col>10</xdr:col>
      <xdr:colOff>419100</xdr:colOff>
      <xdr:row>8</xdr:row>
      <xdr:rowOff>114300</xdr:rowOff>
    </xdr:to>
    <xdr:sp macro="" textlink="">
      <xdr:nvSpPr>
        <xdr:cNvPr id="128" name="Arrow: Left-Right 127">
          <a:extLst>
            <a:ext uri="{FF2B5EF4-FFF2-40B4-BE49-F238E27FC236}">
              <a16:creationId xmlns:a16="http://schemas.microsoft.com/office/drawing/2014/main" id="{723BD0CD-ACAD-402F-A264-8C9F1E1FA98C}"/>
            </a:ext>
          </a:extLst>
        </xdr:cNvPr>
        <xdr:cNvSpPr/>
      </xdr:nvSpPr>
      <xdr:spPr>
        <a:xfrm>
          <a:off x="10944225" y="230505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304800</xdr:colOff>
      <xdr:row>25</xdr:row>
      <xdr:rowOff>38100</xdr:rowOff>
    </xdr:from>
    <xdr:to>
      <xdr:col>23</xdr:col>
      <xdr:colOff>350519</xdr:colOff>
      <xdr:row>25</xdr:row>
      <xdr:rowOff>152400</xdr:rowOff>
    </xdr:to>
    <xdr:sp macro="" textlink="">
      <xdr:nvSpPr>
        <xdr:cNvPr id="129" name="Arrow: Down 128">
          <a:extLst>
            <a:ext uri="{FF2B5EF4-FFF2-40B4-BE49-F238E27FC236}">
              <a16:creationId xmlns:a16="http://schemas.microsoft.com/office/drawing/2014/main" id="{46E419C9-57B6-4613-AEAD-69042F8CA264}"/>
            </a:ext>
          </a:extLst>
        </xdr:cNvPr>
        <xdr:cNvSpPr/>
      </xdr:nvSpPr>
      <xdr:spPr>
        <a:xfrm rot="10800000">
          <a:off x="17383125" y="5676900"/>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238125</xdr:colOff>
      <xdr:row>15</xdr:row>
      <xdr:rowOff>66675</xdr:rowOff>
    </xdr:from>
    <xdr:to>
      <xdr:col>10</xdr:col>
      <xdr:colOff>438150</xdr:colOff>
      <xdr:row>15</xdr:row>
      <xdr:rowOff>123825</xdr:rowOff>
    </xdr:to>
    <xdr:sp macro="" textlink="">
      <xdr:nvSpPr>
        <xdr:cNvPr id="131" name="Arrow: Left-Right 130">
          <a:extLst>
            <a:ext uri="{FF2B5EF4-FFF2-40B4-BE49-F238E27FC236}">
              <a16:creationId xmlns:a16="http://schemas.microsoft.com/office/drawing/2014/main" id="{CBD00AE0-92FD-490E-8767-C476C9353596}"/>
            </a:ext>
          </a:extLst>
        </xdr:cNvPr>
        <xdr:cNvSpPr/>
      </xdr:nvSpPr>
      <xdr:spPr>
        <a:xfrm>
          <a:off x="10963275" y="37242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219075</xdr:colOff>
      <xdr:row>18</xdr:row>
      <xdr:rowOff>66675</xdr:rowOff>
    </xdr:from>
    <xdr:to>
      <xdr:col>23</xdr:col>
      <xdr:colOff>419100</xdr:colOff>
      <xdr:row>18</xdr:row>
      <xdr:rowOff>123825</xdr:rowOff>
    </xdr:to>
    <xdr:sp macro="" textlink="">
      <xdr:nvSpPr>
        <xdr:cNvPr id="133" name="Arrow: Left-Right 132">
          <a:extLst>
            <a:ext uri="{FF2B5EF4-FFF2-40B4-BE49-F238E27FC236}">
              <a16:creationId xmlns:a16="http://schemas.microsoft.com/office/drawing/2014/main" id="{EFD4DEB5-559E-42ED-8CF1-C16F5AECDE30}"/>
            </a:ext>
          </a:extLst>
        </xdr:cNvPr>
        <xdr:cNvSpPr/>
      </xdr:nvSpPr>
      <xdr:spPr>
        <a:xfrm>
          <a:off x="17297400" y="43719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a:p>
      </xdr:txBody>
    </xdr:sp>
    <xdr:clientData/>
  </xdr:twoCellAnchor>
  <xdr:twoCellAnchor>
    <xdr:from>
      <xdr:col>36</xdr:col>
      <xdr:colOff>228600</xdr:colOff>
      <xdr:row>26</xdr:row>
      <xdr:rowOff>66675</xdr:rowOff>
    </xdr:from>
    <xdr:to>
      <xdr:col>36</xdr:col>
      <xdr:colOff>428625</xdr:colOff>
      <xdr:row>26</xdr:row>
      <xdr:rowOff>123825</xdr:rowOff>
    </xdr:to>
    <xdr:sp macro="" textlink="">
      <xdr:nvSpPr>
        <xdr:cNvPr id="134" name="Arrow: Left-Right 133">
          <a:extLst>
            <a:ext uri="{FF2B5EF4-FFF2-40B4-BE49-F238E27FC236}">
              <a16:creationId xmlns:a16="http://schemas.microsoft.com/office/drawing/2014/main" id="{0BCB1C3E-B5D1-41C6-A071-5721504B3558}"/>
            </a:ext>
          </a:extLst>
        </xdr:cNvPr>
        <xdr:cNvSpPr/>
      </xdr:nvSpPr>
      <xdr:spPr>
        <a:xfrm>
          <a:off x="29251275" y="58959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238125</xdr:colOff>
      <xdr:row>27</xdr:row>
      <xdr:rowOff>76200</xdr:rowOff>
    </xdr:from>
    <xdr:to>
      <xdr:col>36</xdr:col>
      <xdr:colOff>438150</xdr:colOff>
      <xdr:row>27</xdr:row>
      <xdr:rowOff>133350</xdr:rowOff>
    </xdr:to>
    <xdr:sp macro="" textlink="">
      <xdr:nvSpPr>
        <xdr:cNvPr id="135" name="Arrow: Left-Right 134">
          <a:extLst>
            <a:ext uri="{FF2B5EF4-FFF2-40B4-BE49-F238E27FC236}">
              <a16:creationId xmlns:a16="http://schemas.microsoft.com/office/drawing/2014/main" id="{0D5D5E06-14D6-49EB-8AC3-53D73D0B9718}"/>
            </a:ext>
          </a:extLst>
        </xdr:cNvPr>
        <xdr:cNvSpPr/>
      </xdr:nvSpPr>
      <xdr:spPr>
        <a:xfrm>
          <a:off x="29260800" y="609600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219075</xdr:colOff>
      <xdr:row>25</xdr:row>
      <xdr:rowOff>66675</xdr:rowOff>
    </xdr:from>
    <xdr:to>
      <xdr:col>36</xdr:col>
      <xdr:colOff>419100</xdr:colOff>
      <xdr:row>25</xdr:row>
      <xdr:rowOff>123825</xdr:rowOff>
    </xdr:to>
    <xdr:sp macro="" textlink="">
      <xdr:nvSpPr>
        <xdr:cNvPr id="136" name="Arrow: Left-Right 135">
          <a:extLst>
            <a:ext uri="{FF2B5EF4-FFF2-40B4-BE49-F238E27FC236}">
              <a16:creationId xmlns:a16="http://schemas.microsoft.com/office/drawing/2014/main" id="{0F51C674-2D2A-4CF5-9278-E5BEE4AD730D}"/>
            </a:ext>
          </a:extLst>
        </xdr:cNvPr>
        <xdr:cNvSpPr/>
      </xdr:nvSpPr>
      <xdr:spPr>
        <a:xfrm>
          <a:off x="29241750" y="5705475"/>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228600</xdr:colOff>
      <xdr:row>24</xdr:row>
      <xdr:rowOff>57150</xdr:rowOff>
    </xdr:from>
    <xdr:to>
      <xdr:col>36</xdr:col>
      <xdr:colOff>428625</xdr:colOff>
      <xdr:row>24</xdr:row>
      <xdr:rowOff>114300</xdr:rowOff>
    </xdr:to>
    <xdr:sp macro="" textlink="">
      <xdr:nvSpPr>
        <xdr:cNvPr id="137" name="Arrow: Left-Right 136">
          <a:extLst>
            <a:ext uri="{FF2B5EF4-FFF2-40B4-BE49-F238E27FC236}">
              <a16:creationId xmlns:a16="http://schemas.microsoft.com/office/drawing/2014/main" id="{656384C4-F5C1-42EC-8A2C-F2A32B24B56D}"/>
            </a:ext>
          </a:extLst>
        </xdr:cNvPr>
        <xdr:cNvSpPr/>
      </xdr:nvSpPr>
      <xdr:spPr>
        <a:xfrm>
          <a:off x="29251275" y="550545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228600</xdr:colOff>
      <xdr:row>21</xdr:row>
      <xdr:rowOff>57150</xdr:rowOff>
    </xdr:from>
    <xdr:to>
      <xdr:col>36</xdr:col>
      <xdr:colOff>428625</xdr:colOff>
      <xdr:row>21</xdr:row>
      <xdr:rowOff>114300</xdr:rowOff>
    </xdr:to>
    <xdr:sp macro="" textlink="">
      <xdr:nvSpPr>
        <xdr:cNvPr id="138" name="Arrow: Left-Right 137">
          <a:extLst>
            <a:ext uri="{FF2B5EF4-FFF2-40B4-BE49-F238E27FC236}">
              <a16:creationId xmlns:a16="http://schemas.microsoft.com/office/drawing/2014/main" id="{5F5135DF-2A2D-4968-B2BF-3058F3490B70}"/>
            </a:ext>
          </a:extLst>
        </xdr:cNvPr>
        <xdr:cNvSpPr/>
      </xdr:nvSpPr>
      <xdr:spPr>
        <a:xfrm>
          <a:off x="29251275" y="4933950"/>
          <a:ext cx="200025" cy="57150"/>
        </a:xfrm>
        <a:prstGeom prst="lef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36</xdr:col>
      <xdr:colOff>304800</xdr:colOff>
      <xdr:row>8</xdr:row>
      <xdr:rowOff>47625</xdr:rowOff>
    </xdr:from>
    <xdr:to>
      <xdr:col>36</xdr:col>
      <xdr:colOff>350519</xdr:colOff>
      <xdr:row>8</xdr:row>
      <xdr:rowOff>161925</xdr:rowOff>
    </xdr:to>
    <xdr:sp macro="" textlink="">
      <xdr:nvSpPr>
        <xdr:cNvPr id="139" name="Arrow: Down 138">
          <a:extLst>
            <a:ext uri="{FF2B5EF4-FFF2-40B4-BE49-F238E27FC236}">
              <a16:creationId xmlns:a16="http://schemas.microsoft.com/office/drawing/2014/main" id="{96315CDC-3031-43E3-A2E9-328486D2DDBB}"/>
            </a:ext>
          </a:extLst>
        </xdr:cNvPr>
        <xdr:cNvSpPr/>
      </xdr:nvSpPr>
      <xdr:spPr>
        <a:xfrm rot="10800000">
          <a:off x="29327475" y="2295525"/>
          <a:ext cx="45719" cy="114300"/>
        </a:xfrm>
        <a:prstGeom prst="downArrow">
          <a:avLst/>
        </a:prstGeom>
        <a:solidFill>
          <a:srgbClr val="49C349"/>
        </a:solidFill>
        <a:ln>
          <a:solidFill>
            <a:srgbClr val="49C3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GHGER%20Scenario%20Actions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sheetName val="List of Actions"/>
      <sheetName val="List Condensed"/>
      <sheetName val="Electrification"/>
      <sheetName val="Hybrid"/>
      <sheetName val="Elect NPV&amp;MAC"/>
      <sheetName val="Hybrid NPV&amp;MAC"/>
      <sheetName val="Actions Not Included"/>
    </sheetNames>
    <sheetDataSet>
      <sheetData sheetId="0"/>
      <sheetData sheetId="1"/>
      <sheetData sheetId="2"/>
      <sheetData sheetId="3">
        <row r="5">
          <cell r="C5" t="str">
            <v>Residential Buildings</v>
          </cell>
          <cell r="D5" t="str">
            <v>Reduce the floor area of new homes</v>
          </cell>
          <cell r="L5">
            <v>57000000</v>
          </cell>
          <cell r="P5">
            <v>-153000</v>
          </cell>
        </row>
        <row r="6">
          <cell r="C6" t="str">
            <v>Residential Buildings</v>
          </cell>
          <cell r="D6" t="str">
            <v>Shift to higher density residences in urban zones</v>
          </cell>
          <cell r="L6">
            <v>43000000</v>
          </cell>
          <cell r="P6">
            <v>-112000</v>
          </cell>
        </row>
        <row r="7">
          <cell r="C7" t="str">
            <v>Residential Buildings</v>
          </cell>
          <cell r="D7" t="str">
            <v>Require new res buildings to use 60% less energy than base year by 2030</v>
          </cell>
          <cell r="L7">
            <v>230000000</v>
          </cell>
          <cell r="P7">
            <v>-677000</v>
          </cell>
        </row>
        <row r="8">
          <cell r="C8" t="str">
            <v>Commercial Buildings</v>
          </cell>
          <cell r="D8" t="str">
            <v>Require new com buildings to use 60% less energy than base year by 2030</v>
          </cell>
          <cell r="L8">
            <v>458000000</v>
          </cell>
          <cell r="P8">
            <v>-786000</v>
          </cell>
        </row>
        <row r="9">
          <cell r="C9" t="str">
            <v>Residential Equipment</v>
          </cell>
          <cell r="D9" t="str">
            <v>Install 100% electric heat pumps and water heat pumps in new residential buildings by 2025</v>
          </cell>
          <cell r="L9">
            <v>226000000</v>
          </cell>
          <cell r="P9">
            <v>-863000</v>
          </cell>
        </row>
        <row r="10">
          <cell r="C10" t="str">
            <v>Commercial Buildings</v>
          </cell>
          <cell r="D10" t="str">
            <v>Install 100% electric heat pumps in new commercial buildings by 2025</v>
          </cell>
          <cell r="L10">
            <v>58000000</v>
          </cell>
          <cell r="P10">
            <v>-364000</v>
          </cell>
        </row>
        <row r="12">
          <cell r="C12" t="str">
            <v>Residential Buildings</v>
          </cell>
          <cell r="D12" t="str">
            <v>Retrofit 95% of existing buildings by 2040 - achieve a 50% reduction in space conditioning and non space conditioning energy use</v>
          </cell>
          <cell r="L12">
            <v>1110000000</v>
          </cell>
          <cell r="P12">
            <v>-714000</v>
          </cell>
        </row>
        <row r="13">
          <cell r="C13" t="str">
            <v>Commercial Buildings</v>
          </cell>
          <cell r="D13" t="str">
            <v>Retrofit 95% of existing buildings by 2040 - achieve a 50% reduction in space conditioning and non space conditioning energy use</v>
          </cell>
          <cell r="L13">
            <v>1161000000</v>
          </cell>
          <cell r="P13">
            <v>-759000</v>
          </cell>
        </row>
        <row r="14">
          <cell r="C14" t="str">
            <v>Residential Equipment</v>
          </cell>
          <cell r="D14" t="str">
            <v>Install 100% electric heat pumps in existing residential buildings by 2043</v>
          </cell>
          <cell r="L14">
            <v>325000000</v>
          </cell>
          <cell r="P14">
            <v>-187000</v>
          </cell>
        </row>
        <row r="15">
          <cell r="C15" t="str">
            <v>Residential Equipment</v>
          </cell>
          <cell r="D15" t="str">
            <v>Install 100% electric hot water heat pumps in new residential buildings by 2043</v>
          </cell>
          <cell r="L15">
            <v>237000000</v>
          </cell>
          <cell r="P15">
            <v>-183000</v>
          </cell>
        </row>
        <row r="16">
          <cell r="C16" t="str">
            <v>Commercial Buildings</v>
          </cell>
          <cell r="D16" t="str">
            <v>Install 100% electric heat pumps in new commercial buildings by 2043</v>
          </cell>
          <cell r="L16">
            <v>154000000</v>
          </cell>
          <cell r="P16">
            <v>-126000</v>
          </cell>
        </row>
        <row r="17">
          <cell r="C17" t="str">
            <v>Commercial Buildings</v>
          </cell>
          <cell r="D17" t="str">
            <v>Install 50% electric hot water heat pumps in new commercial buildings by 2043</v>
          </cell>
          <cell r="L17">
            <v>19000000</v>
          </cell>
          <cell r="P17">
            <v>-24000</v>
          </cell>
        </row>
        <row r="18">
          <cell r="L18">
            <v>1000000</v>
          </cell>
          <cell r="P18">
            <v>-2000</v>
          </cell>
        </row>
        <row r="20">
          <cell r="C20" t="str">
            <v>Industrial Process</v>
          </cell>
          <cell r="D20" t="str">
            <v>Improve the energy efficiency of industrial facilities not covered by CPP - 50% reduction of energy use by 2050</v>
          </cell>
        </row>
        <row r="22">
          <cell r="C22" t="str">
            <v>Medium and Heavy Duty vehicles</v>
          </cell>
          <cell r="D22" t="str">
            <v>Implement the Medium and Heavy Duty Zero Emission Plan by 2035</v>
          </cell>
          <cell r="L22">
            <v>238000000</v>
          </cell>
          <cell r="P22">
            <v>-228000</v>
          </cell>
        </row>
        <row r="24">
          <cell r="C24" t="str">
            <v>Freight Intensity</v>
          </cell>
          <cell r="D24" t="str">
            <v>Transfer 10% of medium duty vehicle miles traveled to light duty/electric micro-mobility in urban counties by 2035</v>
          </cell>
          <cell r="L24">
            <v>22000000</v>
          </cell>
          <cell r="P24">
            <v>-25000</v>
          </cell>
        </row>
        <row r="26">
          <cell r="C26" t="str">
            <v>Mode Shift</v>
          </cell>
          <cell r="D26" t="str">
            <v>Implement an electric micro-mobility strategy - Electric bikes: 10% of mode share in Portland Metro and Eugene counties is captured by e-bike use by 2035</v>
          </cell>
          <cell r="L26">
            <v>104000000</v>
          </cell>
          <cell r="P26">
            <v>-159000</v>
          </cell>
        </row>
        <row r="27">
          <cell r="C27" t="str">
            <v>Expand Rail</v>
          </cell>
          <cell r="D27" t="str">
            <v>Expand Oregon passenger rail - expanding the ridership of Amtrak</v>
          </cell>
          <cell r="L27">
            <v>148000000</v>
          </cell>
          <cell r="P27">
            <v>-242000</v>
          </cell>
        </row>
        <row r="28">
          <cell r="C28" t="str">
            <v>Vehicle Share</v>
          </cell>
          <cell r="D28" t="str">
            <v>Deploy shared vehicles - Car sharing mode increases by 2035, limited to urban counties</v>
          </cell>
          <cell r="L28">
            <v>135000000</v>
          </cell>
          <cell r="P28">
            <v>-222000</v>
          </cell>
        </row>
        <row r="29">
          <cell r="C29" t="str">
            <v>Shift to Transit</v>
          </cell>
          <cell r="D29" t="str">
            <v>Implement low emissions zones in urban areas - Congestion pricing achieves a 10% transport mode shift away from private cars to transit in Multnomah, Lane, and Washington counties by 2035</v>
          </cell>
          <cell r="L29">
            <v>59000000</v>
          </cell>
          <cell r="P29">
            <v>-91000</v>
          </cell>
        </row>
        <row r="30">
          <cell r="C30" t="str">
            <v>Water Efficiency</v>
          </cell>
          <cell r="D30" t="str">
            <v>Enhance the efficiency of the water system - 20% efficiency gain in water distribution system energy use by 2035 as water leakage from older systems are fixed</v>
          </cell>
          <cell r="L30">
            <v>94000</v>
          </cell>
          <cell r="P30">
            <v>-172000</v>
          </cell>
        </row>
        <row r="32">
          <cell r="C32" t="str">
            <v>Food Waste Program</v>
          </cell>
          <cell r="D32" t="str">
            <v>50% organics diversion by 2030 and the incorporation of CH4 capture through anaerobic digestion</v>
          </cell>
          <cell r="L32">
            <v>0</v>
          </cell>
        </row>
        <row r="34">
          <cell r="C34" t="str">
            <v>Distributed Energy</v>
          </cell>
          <cell r="D34" t="str">
            <v>Increase building integrated solar adoption - 4 TWh of building integrated solar generation Installed new building stock by 2035</v>
          </cell>
          <cell r="L34">
            <v>0</v>
          </cell>
          <cell r="P34">
            <v>-126000</v>
          </cell>
        </row>
        <row r="35">
          <cell r="C35" t="str">
            <v>Distributed Energy</v>
          </cell>
          <cell r="D35" t="str">
            <v>Enable distributed energy resources - 16.3 TWh of rooftop solar PV generation by 2035</v>
          </cell>
          <cell r="L35">
            <v>0</v>
          </cell>
          <cell r="P35">
            <v>-830000</v>
          </cell>
        </row>
        <row r="36">
          <cell r="C36" t="str">
            <v>Storage</v>
          </cell>
          <cell r="D36" t="str">
            <v>Enhance energy storage - Adds storage capability to 25% of residential non-apartment building stock by 2035, assume each storage unit is spec'd to 14 kwh</v>
          </cell>
          <cell r="L36">
            <v>0</v>
          </cell>
          <cell r="P36">
            <v>-89000</v>
          </cell>
        </row>
        <row r="37">
          <cell r="C37" t="str">
            <v>Storage</v>
          </cell>
          <cell r="D37" t="str">
            <v>Ensure backup power is clean - 100% diesel backup is replaced by electric battery storage by 2035</v>
          </cell>
          <cell r="L37">
            <v>0</v>
          </cell>
          <cell r="P37">
            <v>-23000</v>
          </cell>
        </row>
      </sheetData>
      <sheetData sheetId="4">
        <row r="5">
          <cell r="E5">
            <v>0</v>
          </cell>
          <cell r="F5">
            <v>-3600000000</v>
          </cell>
          <cell r="G5">
            <v>-14400000000</v>
          </cell>
          <cell r="H5">
            <v>-18000000000</v>
          </cell>
          <cell r="I5">
            <v>-7320900000</v>
          </cell>
          <cell r="J5">
            <v>1718000</v>
          </cell>
          <cell r="K5">
            <v>-4261.3020407450522</v>
          </cell>
          <cell r="M5">
            <v>1962900000</v>
          </cell>
          <cell r="N5">
            <v>0</v>
          </cell>
          <cell r="O5">
            <v>0.16159999999999999</v>
          </cell>
        </row>
        <row r="6">
          <cell r="E6">
            <v>-27500000000</v>
          </cell>
          <cell r="F6">
            <v>-2800000000</v>
          </cell>
          <cell r="G6">
            <v>-9000000000</v>
          </cell>
          <cell r="H6">
            <v>-39300000000</v>
          </cell>
          <cell r="I6">
            <v>-20906500000</v>
          </cell>
          <cell r="J6">
            <v>1315000</v>
          </cell>
          <cell r="K6">
            <v>-15898.511732319392</v>
          </cell>
          <cell r="M6">
            <v>875000000</v>
          </cell>
          <cell r="N6">
            <v>-149677</v>
          </cell>
          <cell r="O6">
            <v>0.16159999999999999</v>
          </cell>
        </row>
        <row r="7">
          <cell r="E7">
            <v>7900000000</v>
          </cell>
          <cell r="F7">
            <v>-13500000000</v>
          </cell>
          <cell r="G7">
            <v>300000000</v>
          </cell>
          <cell r="H7">
            <v>-5300000000</v>
          </cell>
          <cell r="I7">
            <v>-499300000</v>
          </cell>
          <cell r="J7">
            <v>8044000</v>
          </cell>
          <cell r="K7">
            <v>-62.072545499751371</v>
          </cell>
          <cell r="M7">
            <v>2669000000</v>
          </cell>
          <cell r="N7">
            <v>38162</v>
          </cell>
          <cell r="O7">
            <v>0.16159999999999999</v>
          </cell>
        </row>
        <row r="8">
          <cell r="E8">
            <v>9600000000</v>
          </cell>
          <cell r="F8">
            <v>-8230000000</v>
          </cell>
          <cell r="G8">
            <v>-710000000</v>
          </cell>
          <cell r="H8">
            <v>700000000</v>
          </cell>
          <cell r="I8">
            <v>2353100000</v>
          </cell>
          <cell r="J8">
            <v>11751000</v>
          </cell>
          <cell r="K8">
            <v>200.24897021530083</v>
          </cell>
          <cell r="M8">
            <v>550640000</v>
          </cell>
          <cell r="N8">
            <v>52821</v>
          </cell>
          <cell r="O8">
            <v>0</v>
          </cell>
        </row>
        <row r="9">
          <cell r="E9">
            <v>9300000000</v>
          </cell>
          <cell r="F9">
            <v>-10400000000</v>
          </cell>
          <cell r="G9">
            <v>600000000</v>
          </cell>
          <cell r="H9">
            <v>-500000000</v>
          </cell>
          <cell r="I9">
            <v>623700000</v>
          </cell>
          <cell r="J9">
            <v>4269000</v>
          </cell>
          <cell r="K9">
            <v>146.08912157413914</v>
          </cell>
          <cell r="M9">
            <v>11596000000</v>
          </cell>
          <cell r="N9">
            <v>42485</v>
          </cell>
          <cell r="O9">
            <v>0.12740000000000001</v>
          </cell>
        </row>
        <row r="10">
          <cell r="E10">
            <v>48000000</v>
          </cell>
          <cell r="F10">
            <v>-300000000</v>
          </cell>
          <cell r="G10">
            <v>-100000000</v>
          </cell>
          <cell r="H10">
            <v>-400000000</v>
          </cell>
          <cell r="I10">
            <v>-145200000</v>
          </cell>
          <cell r="J10">
            <v>679000</v>
          </cell>
          <cell r="K10">
            <v>-213.83880854197349</v>
          </cell>
          <cell r="M10">
            <v>1464100000</v>
          </cell>
          <cell r="N10">
            <v>221</v>
          </cell>
        </row>
        <row r="11">
          <cell r="E11">
            <v>300000000</v>
          </cell>
          <cell r="F11">
            <v>-90000000</v>
          </cell>
          <cell r="G11">
            <v>330000000</v>
          </cell>
          <cell r="H11">
            <v>500000000</v>
          </cell>
          <cell r="I11">
            <v>199600000</v>
          </cell>
          <cell r="J11">
            <v>444000</v>
          </cell>
          <cell r="K11">
            <v>449.45186036036034</v>
          </cell>
          <cell r="M11">
            <v>6000000</v>
          </cell>
          <cell r="N11">
            <v>1521</v>
          </cell>
          <cell r="O11">
            <v>0</v>
          </cell>
        </row>
        <row r="12">
          <cell r="E12">
            <v>50700000000</v>
          </cell>
          <cell r="F12">
            <v>-60000000000</v>
          </cell>
          <cell r="G12">
            <v>700000000</v>
          </cell>
          <cell r="H12">
            <v>-8600000000</v>
          </cell>
          <cell r="I12">
            <v>13950300000</v>
          </cell>
          <cell r="J12">
            <v>19578000</v>
          </cell>
          <cell r="K12">
            <v>712.55024512207581</v>
          </cell>
          <cell r="M12">
            <v>15949000000</v>
          </cell>
          <cell r="N12">
            <v>168357</v>
          </cell>
          <cell r="O12">
            <v>9.1300000000000006E-2</v>
          </cell>
        </row>
        <row r="13">
          <cell r="E13">
            <v>40400000000</v>
          </cell>
          <cell r="F13">
            <v>-60300000000</v>
          </cell>
          <cell r="G13">
            <v>-4700000000</v>
          </cell>
          <cell r="H13">
            <v>-24600000000</v>
          </cell>
          <cell r="I13">
            <v>9493100000</v>
          </cell>
          <cell r="J13">
            <v>21128000</v>
          </cell>
          <cell r="K13">
            <v>449.31254974441498</v>
          </cell>
          <cell r="M13">
            <v>2234900000</v>
          </cell>
          <cell r="N13">
            <v>122917</v>
          </cell>
          <cell r="O13">
            <v>0</v>
          </cell>
        </row>
        <row r="14">
          <cell r="E14">
            <v>19700000000</v>
          </cell>
          <cell r="F14">
            <v>-13300000000</v>
          </cell>
          <cell r="G14">
            <v>1000000000</v>
          </cell>
          <cell r="H14">
            <v>7400000000</v>
          </cell>
          <cell r="I14">
            <v>3690400000</v>
          </cell>
          <cell r="J14">
            <v>2740000</v>
          </cell>
          <cell r="K14">
            <v>1346.8505653284672</v>
          </cell>
          <cell r="M14">
            <v>14984000000</v>
          </cell>
          <cell r="N14">
            <v>57005</v>
          </cell>
          <cell r="O14">
            <v>5.33E-2</v>
          </cell>
        </row>
        <row r="15">
          <cell r="E15">
            <v>100000000</v>
          </cell>
          <cell r="F15">
            <v>-3400000000</v>
          </cell>
          <cell r="G15">
            <v>300000000</v>
          </cell>
          <cell r="H15">
            <v>-3000000000</v>
          </cell>
          <cell r="I15">
            <v>-253900000</v>
          </cell>
          <cell r="J15">
            <v>4470000</v>
          </cell>
          <cell r="K15">
            <v>-56.809596420581656</v>
          </cell>
          <cell r="M15">
            <v>207000000</v>
          </cell>
          <cell r="N15">
            <v>643</v>
          </cell>
          <cell r="O15">
            <v>0</v>
          </cell>
        </row>
        <row r="16">
          <cell r="E16">
            <v>300000000</v>
          </cell>
          <cell r="F16">
            <v>-1600000000</v>
          </cell>
          <cell r="G16">
            <v>500000000</v>
          </cell>
          <cell r="H16">
            <v>-800000000</v>
          </cell>
          <cell r="I16">
            <v>-140400000</v>
          </cell>
          <cell r="J16">
            <v>2813000</v>
          </cell>
          <cell r="K16">
            <v>-49.928223960184859</v>
          </cell>
          <cell r="M16">
            <v>628380000</v>
          </cell>
          <cell r="N16">
            <v>1580</v>
          </cell>
          <cell r="O16">
            <v>0</v>
          </cell>
        </row>
        <row r="17">
          <cell r="E17">
            <v>1700000000</v>
          </cell>
          <cell r="F17">
            <v>-400000000</v>
          </cell>
          <cell r="G17">
            <v>-100000000</v>
          </cell>
          <cell r="H17">
            <v>1200000000</v>
          </cell>
          <cell r="I17">
            <v>699000000</v>
          </cell>
          <cell r="J17">
            <v>617000</v>
          </cell>
          <cell r="K17">
            <v>1132.8828330632091</v>
          </cell>
          <cell r="M17">
            <v>13000000</v>
          </cell>
          <cell r="N17">
            <v>7937</v>
          </cell>
          <cell r="O17">
            <v>0</v>
          </cell>
        </row>
        <row r="18">
          <cell r="E18">
            <v>3900000000</v>
          </cell>
          <cell r="F18">
            <v>-11900000000</v>
          </cell>
          <cell r="H18">
            <v>-8000000000</v>
          </cell>
          <cell r="I18">
            <v>-1570600000</v>
          </cell>
          <cell r="J18">
            <v>13621000</v>
          </cell>
          <cell r="K18">
            <v>-115.31074678804787</v>
          </cell>
          <cell r="M18">
            <v>9807900000</v>
          </cell>
          <cell r="N18">
            <v>21089</v>
          </cell>
          <cell r="O18">
            <v>0</v>
          </cell>
        </row>
        <row r="20">
          <cell r="E20">
            <v>600000000</v>
          </cell>
          <cell r="F20">
            <v>-26100000000</v>
          </cell>
          <cell r="G20">
            <v>-26500000000</v>
          </cell>
          <cell r="H20">
            <v>-52000000000</v>
          </cell>
          <cell r="I20">
            <v>-10411800000</v>
          </cell>
          <cell r="J20">
            <v>12337000</v>
          </cell>
          <cell r="K20">
            <v>-843.9458075707222</v>
          </cell>
          <cell r="M20">
            <v>259000000</v>
          </cell>
          <cell r="N20">
            <v>-89701</v>
          </cell>
          <cell r="O20">
            <v>0</v>
          </cell>
        </row>
        <row r="22">
          <cell r="E22">
            <v>2900000</v>
          </cell>
          <cell r="F22">
            <v>-1600000000</v>
          </cell>
          <cell r="G22">
            <v>-1500000000</v>
          </cell>
          <cell r="H22">
            <v>-3100000000</v>
          </cell>
          <cell r="I22">
            <v>-797100000</v>
          </cell>
          <cell r="J22">
            <v>588000</v>
          </cell>
          <cell r="K22">
            <v>-1355.6587329931972</v>
          </cell>
          <cell r="M22">
            <v>16300000</v>
          </cell>
          <cell r="N22">
            <v>-185</v>
          </cell>
          <cell r="O22">
            <v>0</v>
          </cell>
        </row>
        <row r="24">
          <cell r="E24">
            <v>100000000</v>
          </cell>
          <cell r="F24">
            <v>-5300000000</v>
          </cell>
          <cell r="G24" t="str">
            <v>not estimated</v>
          </cell>
          <cell r="H24">
            <v>-5200000000</v>
          </cell>
          <cell r="I24">
            <v>-2904500000</v>
          </cell>
          <cell r="J24">
            <v>3607000</v>
          </cell>
          <cell r="K24">
            <v>-805.23519406709181</v>
          </cell>
          <cell r="M24">
            <v>32900000</v>
          </cell>
          <cell r="N24" t="str">
            <v>medium-low</v>
          </cell>
          <cell r="O24">
            <v>0</v>
          </cell>
        </row>
        <row r="25">
          <cell r="E25">
            <v>1040000000</v>
          </cell>
          <cell r="F25">
            <v>-6200000000</v>
          </cell>
          <cell r="G25">
            <v>38000000</v>
          </cell>
          <cell r="H25">
            <v>-5100000000</v>
          </cell>
          <cell r="I25">
            <v>-2916400000</v>
          </cell>
          <cell r="J25">
            <v>5488000</v>
          </cell>
          <cell r="K25">
            <v>-531.41356377551017</v>
          </cell>
          <cell r="M25">
            <v>50000000</v>
          </cell>
          <cell r="N25" t="str">
            <v>medium-low</v>
          </cell>
          <cell r="O25">
            <v>0</v>
          </cell>
        </row>
        <row r="26">
          <cell r="E26">
            <v>2060000000</v>
          </cell>
          <cell r="F26">
            <v>-5700000000</v>
          </cell>
          <cell r="G26" t="str">
            <v>not estimated</v>
          </cell>
          <cell r="H26">
            <v>-3600000000</v>
          </cell>
          <cell r="I26">
            <v>-1910800000</v>
          </cell>
          <cell r="J26">
            <v>5034000</v>
          </cell>
          <cell r="K26">
            <v>-379.57311620977356</v>
          </cell>
          <cell r="M26">
            <v>45900000</v>
          </cell>
          <cell r="N26" t="str">
            <v>medium-low</v>
          </cell>
          <cell r="O26">
            <v>0</v>
          </cell>
        </row>
        <row r="27">
          <cell r="E27">
            <v>627000000</v>
          </cell>
          <cell r="F27">
            <v>-2500000000</v>
          </cell>
          <cell r="G27">
            <v>925000000</v>
          </cell>
          <cell r="H27">
            <v>-948000000</v>
          </cell>
          <cell r="I27">
            <v>-628700000</v>
          </cell>
          <cell r="J27">
            <v>2073000</v>
          </cell>
          <cell r="K27">
            <v>-303.2991490593343</v>
          </cell>
          <cell r="M27">
            <v>18700000</v>
          </cell>
          <cell r="N27" t="str">
            <v>medium-low</v>
          </cell>
          <cell r="O27">
            <v>0</v>
          </cell>
        </row>
        <row r="28">
          <cell r="E28">
            <v>4000000</v>
          </cell>
          <cell r="F28">
            <v>-1800000</v>
          </cell>
          <cell r="G28" t="str">
            <v>not estimated</v>
          </cell>
          <cell r="H28">
            <v>2200000</v>
          </cell>
          <cell r="I28">
            <v>1700000</v>
          </cell>
          <cell r="J28">
            <v>2286000</v>
          </cell>
          <cell r="K28">
            <v>0.73046281714785655</v>
          </cell>
          <cell r="M28">
            <v>45000</v>
          </cell>
          <cell r="N28" t="str">
            <v>medium</v>
          </cell>
          <cell r="O28">
            <v>0</v>
          </cell>
        </row>
        <row r="30">
          <cell r="H30">
            <v>-24610000</v>
          </cell>
          <cell r="J30">
            <v>2572000</v>
          </cell>
          <cell r="K30">
            <v>-9393</v>
          </cell>
          <cell r="M30">
            <v>0</v>
          </cell>
          <cell r="N30" t="str">
            <v>medium</v>
          </cell>
          <cell r="O30">
            <v>0</v>
          </cell>
        </row>
        <row r="32">
          <cell r="F32">
            <v>7080000000</v>
          </cell>
          <cell r="H32">
            <v>7100000000</v>
          </cell>
          <cell r="I32">
            <v>1960000000</v>
          </cell>
          <cell r="J32">
            <v>18863000</v>
          </cell>
          <cell r="K32">
            <v>10.548478343847744</v>
          </cell>
          <cell r="M32" t="str">
            <v>low (2)</v>
          </cell>
          <cell r="N32" t="str">
            <v>medium-low</v>
          </cell>
          <cell r="O32">
            <v>0</v>
          </cell>
        </row>
        <row r="33">
          <cell r="F33">
            <v>5400000000</v>
          </cell>
          <cell r="H33">
            <v>5400000000</v>
          </cell>
          <cell r="I33">
            <v>1628300000</v>
          </cell>
          <cell r="J33">
            <v>22617000</v>
          </cell>
          <cell r="K33">
            <v>71.996275544944069</v>
          </cell>
          <cell r="M33">
            <v>0</v>
          </cell>
          <cell r="N33" t="str">
            <v>medium-low</v>
          </cell>
          <cell r="O33">
            <v>0</v>
          </cell>
        </row>
        <row r="34">
          <cell r="E34">
            <v>0</v>
          </cell>
          <cell r="F34">
            <v>1400000000</v>
          </cell>
          <cell r="G34">
            <v>0</v>
          </cell>
          <cell r="H34">
            <v>1400000000</v>
          </cell>
          <cell r="I34">
            <v>455700000</v>
          </cell>
          <cell r="J34">
            <v>6763000</v>
          </cell>
          <cell r="K34">
            <v>67.37539760461334</v>
          </cell>
          <cell r="M34" t="str">
            <v>low (2)</v>
          </cell>
          <cell r="N34" t="str">
            <v>medium-low</v>
          </cell>
          <cell r="O34">
            <v>0</v>
          </cell>
        </row>
        <row r="35">
          <cell r="E35">
            <v>2000000000</v>
          </cell>
          <cell r="F35">
            <v>-4200000000</v>
          </cell>
          <cell r="G35">
            <v>400000000</v>
          </cell>
          <cell r="H35">
            <v>-1800000000</v>
          </cell>
          <cell r="I35">
            <v>-69900000</v>
          </cell>
          <cell r="J35">
            <v>3409000</v>
          </cell>
          <cell r="K35">
            <v>-20.508572308594896</v>
          </cell>
          <cell r="M35">
            <v>71000000</v>
          </cell>
          <cell r="N35">
            <v>9294</v>
          </cell>
          <cell r="O35">
            <v>0</v>
          </cell>
        </row>
      </sheetData>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ZELENKA Alan * ODOE" id="{08BC0344-AB5D-4C10-AD93-A11AFFD421B7}" userId="S::Alan.Zelenka@energy.oregon.gov::33cd12b0-1edf-4ea9-8fa4-e33d09e04b4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4" dT="2022-12-14T17:39:57.28" personId="{08BC0344-AB5D-4C10-AD93-A11AFFD421B7}" id="{1F549A1E-6727-44D4-A936-5A4C5CF1A6D3}">
    <text>From DEQ "Foodwaste GHG estimated by DEQ" spreadsheet</text>
  </threadedComment>
  <threadedComment ref="J24" dT="2022-12-14T17:40:06.22" personId="{08BC0344-AB5D-4C10-AD93-A11AFFD421B7}" id="{40DC2C4B-7768-47EE-88D3-34DCE26F6347}">
    <text>From DEQ "Foodwaste GHG estimated by DEQ" spreadsheet</text>
  </threadedComment>
  <threadedComment ref="K24" dT="2022-12-14T17:40:13.58" personId="{08BC0344-AB5D-4C10-AD93-A11AFFD421B7}" id="{1BCC7C05-465A-41AE-A23B-3596561B7009}">
    <text>From DEQ "Foodwaste GHG estimated by DEQ" spreadsheet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BCCB1-4D7A-4172-A22E-8A23E895E765}">
  <sheetPr>
    <tabColor rgb="FF0066FF"/>
    <pageSetUpPr fitToPage="1"/>
  </sheetPr>
  <dimension ref="A1:F11"/>
  <sheetViews>
    <sheetView zoomScaleNormal="100" workbookViewId="0"/>
  </sheetViews>
  <sheetFormatPr defaultRowHeight="15"/>
  <cols>
    <col min="1" max="1" width="11.42578125" customWidth="1"/>
    <col min="2" max="2" width="20.5703125" style="1" customWidth="1"/>
    <col min="3" max="3" width="11" style="1" customWidth="1"/>
    <col min="4" max="4" width="62.7109375" style="1" customWidth="1"/>
    <col min="5" max="5" width="88.42578125" style="1" customWidth="1"/>
    <col min="6" max="6" width="52.5703125" style="1" customWidth="1"/>
  </cols>
  <sheetData>
    <row r="1" spans="1:6" ht="28.9" customHeight="1">
      <c r="B1" s="166" t="s">
        <v>258</v>
      </c>
      <c r="C1" s="166"/>
      <c r="D1" s="166"/>
      <c r="E1" s="166"/>
      <c r="F1" s="166"/>
    </row>
    <row r="2" spans="1:6">
      <c r="A2" t="s">
        <v>307</v>
      </c>
      <c r="B2" s="2"/>
      <c r="C2" s="2"/>
      <c r="D2" s="2"/>
      <c r="E2" s="2"/>
      <c r="F2" s="2"/>
    </row>
    <row r="3" spans="1:6">
      <c r="A3" s="11" t="s">
        <v>43</v>
      </c>
      <c r="B3" s="11" t="s">
        <v>5</v>
      </c>
      <c r="C3" s="11" t="s">
        <v>8</v>
      </c>
      <c r="D3" s="11" t="s">
        <v>6</v>
      </c>
      <c r="E3" s="11" t="s">
        <v>16</v>
      </c>
      <c r="F3" s="11" t="s">
        <v>7</v>
      </c>
    </row>
    <row r="4" spans="1:6" ht="30">
      <c r="A4" s="164" t="s">
        <v>19</v>
      </c>
      <c r="B4" s="9" t="s">
        <v>1</v>
      </c>
      <c r="C4" s="12">
        <v>29</v>
      </c>
      <c r="D4" s="18" t="s">
        <v>33</v>
      </c>
      <c r="E4" s="7" t="s">
        <v>10</v>
      </c>
      <c r="F4" s="7" t="s">
        <v>18</v>
      </c>
    </row>
    <row r="5" spans="1:6" ht="30">
      <c r="A5" s="164"/>
      <c r="B5" s="9" t="s">
        <v>0</v>
      </c>
      <c r="C5" s="12">
        <v>15</v>
      </c>
      <c r="D5" s="18" t="s">
        <v>34</v>
      </c>
      <c r="E5" s="7" t="s">
        <v>9</v>
      </c>
      <c r="F5" s="7" t="s">
        <v>20</v>
      </c>
    </row>
    <row r="6" spans="1:6" ht="188.25" customHeight="1">
      <c r="A6" s="165" t="s">
        <v>14</v>
      </c>
      <c r="B6" s="10" t="s">
        <v>4</v>
      </c>
      <c r="C6" s="12">
        <v>16</v>
      </c>
      <c r="D6" s="18" t="s">
        <v>35</v>
      </c>
      <c r="E6" s="7" t="s">
        <v>308</v>
      </c>
      <c r="F6" s="18" t="s">
        <v>36</v>
      </c>
    </row>
    <row r="7" spans="1:6" ht="165">
      <c r="A7" s="165"/>
      <c r="B7" s="167" t="s">
        <v>2</v>
      </c>
      <c r="C7" s="168">
        <v>15</v>
      </c>
      <c r="D7" s="169" t="s">
        <v>15</v>
      </c>
      <c r="E7" s="17" t="s">
        <v>37</v>
      </c>
      <c r="F7" s="7" t="s">
        <v>41</v>
      </c>
    </row>
    <row r="8" spans="1:6" ht="120">
      <c r="A8" s="165"/>
      <c r="B8" s="167"/>
      <c r="C8" s="168"/>
      <c r="D8" s="169"/>
      <c r="E8" s="8" t="s">
        <v>306</v>
      </c>
      <c r="F8" s="6" t="s">
        <v>40</v>
      </c>
    </row>
    <row r="9" spans="1:6" ht="67.5" customHeight="1">
      <c r="A9" s="165"/>
      <c r="B9" s="167" t="s">
        <v>3</v>
      </c>
      <c r="C9" s="168">
        <v>14</v>
      </c>
      <c r="D9" s="169" t="s">
        <v>38</v>
      </c>
      <c r="E9" s="8" t="s">
        <v>256</v>
      </c>
      <c r="F9" s="7" t="s">
        <v>17</v>
      </c>
    </row>
    <row r="10" spans="1:6" ht="72.75" customHeight="1">
      <c r="A10" s="165"/>
      <c r="B10" s="167"/>
      <c r="C10" s="168"/>
      <c r="D10" s="169"/>
      <c r="E10" s="8" t="s">
        <v>257</v>
      </c>
      <c r="F10" s="7" t="s">
        <v>32</v>
      </c>
    </row>
    <row r="11" spans="1:6" ht="381.75" customHeight="1">
      <c r="A11" s="5" t="s">
        <v>13</v>
      </c>
      <c r="B11" s="5" t="s">
        <v>39</v>
      </c>
      <c r="C11" s="12">
        <v>11</v>
      </c>
      <c r="D11" s="18" t="s">
        <v>309</v>
      </c>
      <c r="E11" s="7" t="s">
        <v>310</v>
      </c>
      <c r="F11" s="19" t="s">
        <v>42</v>
      </c>
    </row>
  </sheetData>
  <mergeCells count="9">
    <mergeCell ref="A4:A5"/>
    <mergeCell ref="A6:A10"/>
    <mergeCell ref="B1:F1"/>
    <mergeCell ref="B9:B10"/>
    <mergeCell ref="B7:B8"/>
    <mergeCell ref="C7:C8"/>
    <mergeCell ref="C9:C10"/>
    <mergeCell ref="D7:D8"/>
    <mergeCell ref="D9:D10"/>
  </mergeCells>
  <pageMargins left="0.25" right="0.25" top="0.75" bottom="0.75" header="0.3" footer="0.3"/>
  <pageSetup scale="5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585B6-1BC0-4586-8554-BB67D3EFC2F1}">
  <sheetPr>
    <tabColor rgb="FF99FF99"/>
  </sheetPr>
  <dimension ref="A1:AQ31"/>
  <sheetViews>
    <sheetView workbookViewId="0">
      <selection activeCell="M27" sqref="M27"/>
    </sheetView>
  </sheetViews>
  <sheetFormatPr defaultRowHeight="15"/>
  <cols>
    <col min="1" max="1" width="7.42578125" style="48" customWidth="1"/>
    <col min="2" max="2" width="42.140625" customWidth="1"/>
    <col min="3" max="3" width="13.42578125" style="48" customWidth="1"/>
    <col min="4" max="4" width="9.140625" style="48"/>
    <col min="6" max="6" width="7.42578125" style="48" customWidth="1"/>
    <col min="7" max="7" width="42.140625" customWidth="1"/>
    <col min="8" max="8" width="11.7109375" style="48" customWidth="1"/>
    <col min="9" max="11" width="9.140625" style="48"/>
    <col min="13" max="13" width="5.140625" customWidth="1"/>
    <col min="14" max="14" width="40.28515625" customWidth="1"/>
    <col min="15" max="15" width="11" customWidth="1"/>
    <col min="16" max="16" width="10.5703125" customWidth="1"/>
    <col min="19" max="19" width="7.42578125" customWidth="1"/>
    <col min="20" max="20" width="42.140625" customWidth="1"/>
    <col min="26" max="26" width="5.140625" customWidth="1"/>
    <col min="27" max="27" width="40.28515625" customWidth="1"/>
    <col min="28" max="28" width="11" style="129" customWidth="1"/>
    <col min="29" max="29" width="9.140625" style="93"/>
    <col min="30" max="30" width="9.140625" style="48"/>
    <col min="32" max="32" width="6.28515625" style="48" customWidth="1"/>
    <col min="33" max="33" width="40.42578125" customWidth="1"/>
    <col min="34" max="34" width="11.42578125" style="48" customWidth="1"/>
    <col min="35" max="35" width="9.7109375" style="48" customWidth="1"/>
    <col min="39" max="39" width="5.140625" customWidth="1"/>
    <col min="40" max="40" width="40.28515625" customWidth="1"/>
    <col min="41" max="41" width="11.5703125" style="99" customWidth="1"/>
    <col min="43" max="43" width="9.140625" style="48"/>
  </cols>
  <sheetData>
    <row r="1" spans="1:43" ht="21">
      <c r="A1" s="60" t="s">
        <v>212</v>
      </c>
    </row>
    <row r="2" spans="1:43" s="24" customFormat="1" ht="21">
      <c r="A2" s="60" t="s">
        <v>216</v>
      </c>
      <c r="C2" s="105"/>
      <c r="D2" s="105"/>
      <c r="F2" s="60" t="s">
        <v>213</v>
      </c>
      <c r="H2" s="105"/>
      <c r="I2" s="105"/>
      <c r="K2" s="105"/>
      <c r="M2" s="177" t="s">
        <v>220</v>
      </c>
      <c r="N2" s="177"/>
      <c r="O2" s="177"/>
      <c r="P2" s="177"/>
      <c r="Q2" s="105"/>
      <c r="S2" s="24" t="s">
        <v>161</v>
      </c>
      <c r="U2" s="105"/>
      <c r="V2" s="105"/>
      <c r="Z2" s="177" t="s">
        <v>220</v>
      </c>
      <c r="AA2" s="177"/>
      <c r="AB2" s="177"/>
      <c r="AC2" s="177"/>
      <c r="AD2" s="105"/>
      <c r="AF2" s="60" t="s">
        <v>231</v>
      </c>
      <c r="AH2" s="105"/>
      <c r="AI2" s="105"/>
      <c r="AM2" s="24" t="s">
        <v>220</v>
      </c>
      <c r="AQ2" s="105"/>
    </row>
    <row r="3" spans="1:43" ht="60">
      <c r="A3" s="89" t="s">
        <v>61</v>
      </c>
      <c r="B3" s="87" t="s">
        <v>112</v>
      </c>
      <c r="C3" s="58" t="s">
        <v>228</v>
      </c>
      <c r="D3" s="58" t="s">
        <v>224</v>
      </c>
      <c r="F3" s="89" t="s">
        <v>61</v>
      </c>
      <c r="G3" s="87" t="s">
        <v>112</v>
      </c>
      <c r="H3" s="58" t="s">
        <v>227</v>
      </c>
      <c r="I3" s="58" t="s">
        <v>225</v>
      </c>
      <c r="J3" s="58" t="s">
        <v>217</v>
      </c>
      <c r="K3" s="58" t="s">
        <v>226</v>
      </c>
      <c r="M3" s="89" t="str">
        <f>+F3</f>
        <v>#</v>
      </c>
      <c r="N3" s="87" t="str">
        <f>+G3</f>
        <v>Action</v>
      </c>
      <c r="O3" s="58" t="s">
        <v>222</v>
      </c>
      <c r="P3" s="58" t="s">
        <v>264</v>
      </c>
      <c r="Q3" s="58" t="s">
        <v>224</v>
      </c>
      <c r="S3" s="89" t="s">
        <v>61</v>
      </c>
      <c r="T3" s="87" t="s">
        <v>112</v>
      </c>
      <c r="U3" s="58" t="s">
        <v>243</v>
      </c>
      <c r="V3" s="58" t="s">
        <v>244</v>
      </c>
      <c r="W3" s="58" t="s">
        <v>217</v>
      </c>
      <c r="X3" s="58" t="s">
        <v>226</v>
      </c>
      <c r="Z3" s="89" t="str">
        <f>+S3</f>
        <v>#</v>
      </c>
      <c r="AA3" s="87" t="str">
        <f>+T3</f>
        <v>Action</v>
      </c>
      <c r="AB3" s="58" t="s">
        <v>222</v>
      </c>
      <c r="AC3" s="58" t="s">
        <v>223</v>
      </c>
      <c r="AD3" s="58" t="s">
        <v>224</v>
      </c>
      <c r="AF3" s="89" t="s">
        <v>61</v>
      </c>
      <c r="AG3" s="87" t="s">
        <v>112</v>
      </c>
      <c r="AH3" s="133" t="s">
        <v>55</v>
      </c>
      <c r="AI3" s="58" t="s">
        <v>231</v>
      </c>
      <c r="AJ3" s="58" t="s">
        <v>217</v>
      </c>
      <c r="AK3" s="58" t="s">
        <v>226</v>
      </c>
      <c r="AM3" s="89" t="str">
        <f>+AF3</f>
        <v>#</v>
      </c>
      <c r="AN3" s="87" t="str">
        <f>+AG3</f>
        <v>Action</v>
      </c>
      <c r="AO3" s="58" t="s">
        <v>222</v>
      </c>
      <c r="AP3" s="58" t="s">
        <v>233</v>
      </c>
      <c r="AQ3" s="58" t="s">
        <v>224</v>
      </c>
    </row>
    <row r="4" spans="1:43">
      <c r="A4" s="26">
        <f>+'C-E Ranking'!A6</f>
        <v>1</v>
      </c>
      <c r="B4" s="3" t="str">
        <f>+'C-E Ranking'!B6</f>
        <v>Reduced Res Floor Area</v>
      </c>
      <c r="C4" s="141">
        <f>+'C-E Ranking'!C6</f>
        <v>-4261.3020407450522</v>
      </c>
      <c r="D4" s="26">
        <f>+'C-E Ranking'!D6</f>
        <v>3</v>
      </c>
      <c r="F4" s="26">
        <f>+'GHG Reduction Ranking'!A24</f>
        <v>1</v>
      </c>
      <c r="G4" s="3" t="str">
        <f>+'GHG Reduction Ranking'!B24</f>
        <v>Reduced Res Floor Area</v>
      </c>
      <c r="H4" s="26">
        <f>+'GHG Reduction Ranking'!C24</f>
        <v>1.718</v>
      </c>
      <c r="I4" s="26">
        <f>+'GHG Reduction Ranking'!D24</f>
        <v>21</v>
      </c>
      <c r="J4" s="97">
        <f t="shared" ref="J4:J28" si="0">+D4-I4</f>
        <v>-18</v>
      </c>
      <c r="K4" s="26"/>
      <c r="M4" s="26">
        <f>+F10</f>
        <v>7</v>
      </c>
      <c r="N4" s="135" t="str">
        <f>+G10</f>
        <v>Wz in Existing Res by 2040</v>
      </c>
      <c r="O4" s="156">
        <f>+J10</f>
        <v>20</v>
      </c>
      <c r="P4" s="94">
        <f>VLOOKUP(N4,$G$4:$I$28,3,FALSE)</f>
        <v>3</v>
      </c>
      <c r="Q4" s="26">
        <f>+P4+O4</f>
        <v>23</v>
      </c>
      <c r="S4" s="26">
        <f>+'Eval Crtiteria Ranking'!A25</f>
        <v>1</v>
      </c>
      <c r="T4" s="3" t="str">
        <f>+'Eval Crtiteria Ranking'!B25</f>
        <v>Reduced Res Floor Area</v>
      </c>
      <c r="U4" s="120">
        <f>+'Eval Crtiteria Ranking'!C25</f>
        <v>40.06</v>
      </c>
      <c r="V4" s="26">
        <f>+'Eval Crtiteria Ranking'!D25</f>
        <v>22</v>
      </c>
      <c r="W4" s="91">
        <f t="shared" ref="W4:W28" si="1">+D4-V4</f>
        <v>-19</v>
      </c>
      <c r="X4" s="26"/>
      <c r="Z4" s="26">
        <f t="shared" ref="Z4:AA6" si="2">+S10</f>
        <v>7</v>
      </c>
      <c r="AA4" s="3" t="str">
        <f t="shared" si="2"/>
        <v>Wz in Existing Res by 2040</v>
      </c>
      <c r="AB4" s="130">
        <f>+W10</f>
        <v>22</v>
      </c>
      <c r="AC4" s="94">
        <f>VLOOKUP(AA4,$T$4:$V$28,3,FALSE)</f>
        <v>1</v>
      </c>
      <c r="AD4" s="26">
        <f>+AC4+AB4</f>
        <v>23</v>
      </c>
      <c r="AF4" s="26">
        <f>+'Co-Benefits Ranking'!A26</f>
        <v>1</v>
      </c>
      <c r="AG4" s="3" t="str">
        <f>+'Co-Benefits Ranking'!B26</f>
        <v>Reduced Res Floor Area</v>
      </c>
      <c r="AH4" s="120">
        <f>+'Co-Benefits Ranking'!C26</f>
        <v>10.08</v>
      </c>
      <c r="AI4" s="26">
        <f>+'Co-Benefits Ranking'!D26</f>
        <v>23</v>
      </c>
      <c r="AJ4" s="91">
        <f>+D4-AI4</f>
        <v>-20</v>
      </c>
      <c r="AK4" s="26"/>
      <c r="AM4" s="26">
        <f>+AF10</f>
        <v>7</v>
      </c>
      <c r="AN4" s="3" t="str">
        <f>+AG10</f>
        <v>Wz in Existing Res by 2040</v>
      </c>
      <c r="AO4" s="136">
        <f>+AJ10</f>
        <v>20</v>
      </c>
      <c r="AP4" s="26">
        <f>VLOOKUP(AN4,$AG$4:$AI$28,3,FALSE)</f>
        <v>2</v>
      </c>
      <c r="AQ4" s="26">
        <f t="shared" ref="AQ4:AQ11" si="3">+AO4+AP4</f>
        <v>22</v>
      </c>
    </row>
    <row r="5" spans="1:43">
      <c r="A5" s="26">
        <f>+'C-E Ranking'!A4</f>
        <v>2</v>
      </c>
      <c r="B5" s="3" t="str">
        <f>+'C-E Ranking'!B4</f>
        <v>Higher Urban Res Density</v>
      </c>
      <c r="C5" s="141">
        <f>+'C-E Ranking'!C4</f>
        <v>-15898.511732319392</v>
      </c>
      <c r="D5" s="26">
        <f>+'C-E Ranking'!D4</f>
        <v>1</v>
      </c>
      <c r="F5" s="26">
        <f>+'GHG Reduction Ranking'!A25</f>
        <v>2</v>
      </c>
      <c r="G5" s="3" t="str">
        <f>+'GHG Reduction Ranking'!B25</f>
        <v>Higher Urban Res Density</v>
      </c>
      <c r="H5" s="26">
        <f>+'GHG Reduction Ranking'!C25</f>
        <v>1.3149999999999999</v>
      </c>
      <c r="I5" s="26">
        <f>+'GHG Reduction Ranking'!D25</f>
        <v>22</v>
      </c>
      <c r="J5" s="97">
        <f t="shared" si="0"/>
        <v>-21</v>
      </c>
      <c r="K5" s="26"/>
      <c r="M5" s="26">
        <f>+F11</f>
        <v>8</v>
      </c>
      <c r="N5" s="135" t="str">
        <f>+G11</f>
        <v>Wz in Existing Com by 2040</v>
      </c>
      <c r="O5" s="156">
        <f>+J11</f>
        <v>20</v>
      </c>
      <c r="P5" s="94">
        <f t="shared" ref="P5:P11" si="4">VLOOKUP(N5,$G$4:$I$28,3,FALSE)</f>
        <v>2</v>
      </c>
      <c r="Q5" s="26">
        <f t="shared" ref="Q5:Q6" si="5">+P5+O5</f>
        <v>22</v>
      </c>
      <c r="S5" s="26">
        <f>+'Eval Crtiteria Ranking'!A18</f>
        <v>2</v>
      </c>
      <c r="T5" s="3" t="str">
        <f>+'Eval Crtiteria Ranking'!B18</f>
        <v>Higher Urban Res Density</v>
      </c>
      <c r="U5" s="120">
        <f>+'Eval Crtiteria Ranking'!C18</f>
        <v>46.91</v>
      </c>
      <c r="V5" s="26">
        <f>+'Eval Crtiteria Ranking'!D18</f>
        <v>15</v>
      </c>
      <c r="W5" s="91">
        <f t="shared" si="1"/>
        <v>-14</v>
      </c>
      <c r="X5" s="26"/>
      <c r="Z5" s="26">
        <f t="shared" si="2"/>
        <v>8</v>
      </c>
      <c r="AA5" s="3" t="str">
        <f t="shared" si="2"/>
        <v>Wz in Existing Com by 2040</v>
      </c>
      <c r="AB5" s="130">
        <f>+W11</f>
        <v>20</v>
      </c>
      <c r="AC5" s="94">
        <f t="shared" ref="AC5:AC11" si="6">VLOOKUP(AA5,$T$4:$V$28,3,FALSE)</f>
        <v>2</v>
      </c>
      <c r="AD5" s="26">
        <f t="shared" ref="AD5:AD6" si="7">+AC5+AB5</f>
        <v>22</v>
      </c>
      <c r="AF5" s="26">
        <f>+'Co-Benefits Ranking'!A18</f>
        <v>2</v>
      </c>
      <c r="AG5" s="3" t="str">
        <f>+'Co-Benefits Ranking'!B18</f>
        <v>Higher Urban Res Density</v>
      </c>
      <c r="AH5" s="120">
        <f>+'Co-Benefits Ranking'!C18</f>
        <v>14.93</v>
      </c>
      <c r="AI5" s="26">
        <f>+'Co-Benefits Ranking'!D18</f>
        <v>15</v>
      </c>
      <c r="AJ5" s="91">
        <f>+D6-AI5</f>
        <v>-4</v>
      </c>
      <c r="AK5" s="26"/>
      <c r="AM5" s="26">
        <f>+AF8</f>
        <v>5</v>
      </c>
      <c r="AN5" s="3" t="str">
        <f>+AG8</f>
        <v>100% Elec HP &amp; WH in New Res by 2025</v>
      </c>
      <c r="AO5" s="136">
        <f>+AJ8</f>
        <v>18</v>
      </c>
      <c r="AP5" s="26">
        <f t="shared" ref="AP5:AP11" si="8">VLOOKUP(AN5,$AG$4:$AI$28,3,FALSE)</f>
        <v>3</v>
      </c>
      <c r="AQ5" s="26">
        <f t="shared" si="3"/>
        <v>21</v>
      </c>
    </row>
    <row r="6" spans="1:43">
      <c r="A6" s="26">
        <f>+'C-E Ranking'!A14</f>
        <v>3</v>
      </c>
      <c r="B6" s="3" t="str">
        <f>+'C-E Ranking'!B14</f>
        <v>Res Code Reduction 60% by 2030</v>
      </c>
      <c r="C6" s="141">
        <f>+'C-E Ranking'!C14</f>
        <v>-62.072545499751371</v>
      </c>
      <c r="D6" s="26">
        <f>+'C-E Ranking'!D14</f>
        <v>11</v>
      </c>
      <c r="F6" s="26">
        <f>+'GHG Reduction Ranking'!A11</f>
        <v>3</v>
      </c>
      <c r="G6" s="3" t="str">
        <f>+'GHG Reduction Ranking'!B11</f>
        <v>Res Code Reduction 60% by 2030</v>
      </c>
      <c r="H6" s="26">
        <f>+'GHG Reduction Ranking'!C11</f>
        <v>8.0440000000000005</v>
      </c>
      <c r="I6" s="26">
        <f>+'GHG Reduction Ranking'!D11</f>
        <v>8</v>
      </c>
      <c r="J6" s="97">
        <f t="shared" si="0"/>
        <v>3</v>
      </c>
      <c r="K6" s="26"/>
      <c r="M6" s="26">
        <f>+F26</f>
        <v>23</v>
      </c>
      <c r="N6" s="135" t="str">
        <f>+G26</f>
        <v>RNG Full Potential by 2050</v>
      </c>
      <c r="O6" s="156">
        <f>+J26</f>
        <v>17</v>
      </c>
      <c r="P6" s="94">
        <f t="shared" si="4"/>
        <v>1</v>
      </c>
      <c r="Q6" s="26">
        <f t="shared" si="5"/>
        <v>18</v>
      </c>
      <c r="S6" s="26">
        <f>+'Eval Crtiteria Ranking'!A6</f>
        <v>3</v>
      </c>
      <c r="T6" s="3" t="str">
        <f>+'Eval Crtiteria Ranking'!B6</f>
        <v>Res Code Reduction 60% by 2030</v>
      </c>
      <c r="U6" s="120">
        <f>+'Eval Crtiteria Ranking'!C6</f>
        <v>63.739999999999995</v>
      </c>
      <c r="V6" s="26">
        <f>+'Eval Crtiteria Ranking'!D6</f>
        <v>3</v>
      </c>
      <c r="W6" s="91">
        <f t="shared" si="1"/>
        <v>8</v>
      </c>
      <c r="X6" s="26"/>
      <c r="Z6" s="26">
        <f t="shared" si="2"/>
        <v>9</v>
      </c>
      <c r="AA6" s="3" t="str">
        <f t="shared" si="2"/>
        <v>Existing Res buildings 100% HP by 2043</v>
      </c>
      <c r="AB6" s="130">
        <f>+W12</f>
        <v>20</v>
      </c>
      <c r="AC6" s="94">
        <f t="shared" si="6"/>
        <v>5</v>
      </c>
      <c r="AD6" s="26">
        <f t="shared" si="7"/>
        <v>25</v>
      </c>
      <c r="AF6" s="26">
        <f>+'Co-Benefits Ranking'!A7</f>
        <v>3</v>
      </c>
      <c r="AG6" s="3" t="str">
        <f>+'Co-Benefits Ranking'!B7</f>
        <v>Res Code Reduction 60% by 2030</v>
      </c>
      <c r="AH6" s="120">
        <f>+'Co-Benefits Ranking'!C7</f>
        <v>26.080000000000002</v>
      </c>
      <c r="AI6" s="26">
        <f>+'Co-Benefits Ranking'!D7</f>
        <v>4</v>
      </c>
      <c r="AJ6" s="91">
        <f>+D6-AI6</f>
        <v>7</v>
      </c>
      <c r="AK6" s="26"/>
      <c r="AM6" s="26">
        <f>+AF9</f>
        <v>6</v>
      </c>
      <c r="AN6" s="3" t="str">
        <f>+AG9</f>
        <v>100% Elec HP &amp; 50% WH in New Com by 2025</v>
      </c>
      <c r="AO6" s="136">
        <f>+AJ9</f>
        <v>18</v>
      </c>
      <c r="AP6" s="26">
        <f t="shared" si="8"/>
        <v>5</v>
      </c>
      <c r="AQ6" s="26">
        <f t="shared" si="3"/>
        <v>23</v>
      </c>
    </row>
    <row r="7" spans="1:43">
      <c r="A7" s="26">
        <f>+'C-E Ranking'!A23</f>
        <v>4</v>
      </c>
      <c r="B7" s="3" t="str">
        <f>+'C-E Ranking'!B23</f>
        <v>Com Code Reduction 60% by 2030</v>
      </c>
      <c r="C7" s="141">
        <f>+'C-E Ranking'!C23</f>
        <v>200.24897021530083</v>
      </c>
      <c r="D7" s="26">
        <f>+'C-E Ranking'!D23</f>
        <v>20</v>
      </c>
      <c r="F7" s="26">
        <f>+'GHG Reduction Ranking'!A10</f>
        <v>4</v>
      </c>
      <c r="G7" s="3" t="str">
        <f>+'GHG Reduction Ranking'!B10</f>
        <v>Com Code Reduction 60% by 2030</v>
      </c>
      <c r="H7" s="26">
        <f>+'GHG Reduction Ranking'!C10</f>
        <v>11.750999999999999</v>
      </c>
      <c r="I7" s="26">
        <f>+'GHG Reduction Ranking'!D10</f>
        <v>7</v>
      </c>
      <c r="J7" s="97">
        <f t="shared" si="0"/>
        <v>13</v>
      </c>
      <c r="K7" s="26"/>
      <c r="M7" s="26">
        <f>+F7</f>
        <v>4</v>
      </c>
      <c r="N7" s="135" t="str">
        <f>+G7</f>
        <v>Com Code Reduction 60% by 2030</v>
      </c>
      <c r="O7" s="156">
        <f>+J7</f>
        <v>13</v>
      </c>
      <c r="P7" s="94">
        <f t="shared" si="4"/>
        <v>7</v>
      </c>
      <c r="Q7" s="26">
        <f>+P7+O7</f>
        <v>20</v>
      </c>
      <c r="S7" s="26">
        <f>+'Eval Crtiteria Ranking'!A8</f>
        <v>4</v>
      </c>
      <c r="T7" s="3" t="str">
        <f>+'Eval Crtiteria Ranking'!B8</f>
        <v>Com Code Reduction 60% by 2030</v>
      </c>
      <c r="U7" s="120">
        <f>+'Eval Crtiteria Ranking'!C8</f>
        <v>62.01</v>
      </c>
      <c r="V7" s="26">
        <f>+'Eval Crtiteria Ranking'!D8</f>
        <v>7</v>
      </c>
      <c r="W7" s="91">
        <f t="shared" si="1"/>
        <v>13</v>
      </c>
      <c r="X7" s="26"/>
      <c r="Z7" s="26">
        <f>+S7</f>
        <v>4</v>
      </c>
      <c r="AA7" s="3" t="str">
        <f>+T7</f>
        <v>Com Code Reduction 60% by 2030</v>
      </c>
      <c r="AB7" s="130">
        <f>+W7</f>
        <v>13</v>
      </c>
      <c r="AC7" s="94">
        <f t="shared" si="6"/>
        <v>7</v>
      </c>
      <c r="AD7" s="26">
        <f>+AC7+AB7</f>
        <v>20</v>
      </c>
      <c r="AF7" s="26">
        <f>+'Co-Benefits Ranking'!A9</f>
        <v>4</v>
      </c>
      <c r="AG7" s="3" t="str">
        <f>+'Co-Benefits Ranking'!B9</f>
        <v>Com Code Reduction 60% by 2030</v>
      </c>
      <c r="AH7" s="120">
        <f>+'Co-Benefits Ranking'!C9</f>
        <v>24.71</v>
      </c>
      <c r="AI7" s="26">
        <f>+'Co-Benefits Ranking'!D9</f>
        <v>6</v>
      </c>
      <c r="AJ7" s="91">
        <f t="shared" ref="AJ7:AJ13" si="9">+D8-AI7</f>
        <v>13</v>
      </c>
      <c r="AK7" s="26"/>
      <c r="AM7" s="26">
        <f>+AF11</f>
        <v>8</v>
      </c>
      <c r="AN7" s="3" t="str">
        <f>+AG11</f>
        <v>Wz in Existing Com by 2040</v>
      </c>
      <c r="AO7" s="136">
        <f>+AJ11</f>
        <v>18</v>
      </c>
      <c r="AP7" s="26">
        <f t="shared" si="8"/>
        <v>7</v>
      </c>
      <c r="AQ7" s="26">
        <f t="shared" si="3"/>
        <v>25</v>
      </c>
    </row>
    <row r="8" spans="1:43">
      <c r="A8" s="26">
        <f>+'C-E Ranking'!A22</f>
        <v>5</v>
      </c>
      <c r="B8" s="3" t="str">
        <f>+'C-E Ranking'!B22</f>
        <v>100% Elec HP &amp; WH in New Res by 2025</v>
      </c>
      <c r="C8" s="141">
        <f>+'C-E Ranking'!C22</f>
        <v>146.08912157413914</v>
      </c>
      <c r="D8" s="26">
        <f>+'C-E Ranking'!D22</f>
        <v>19</v>
      </c>
      <c r="F8" s="26">
        <f>+'GHG Reduction Ranking'!A16</f>
        <v>5</v>
      </c>
      <c r="G8" s="3" t="str">
        <f>+'GHG Reduction Ranking'!B16</f>
        <v>100% Elec HP &amp; WH in New Res by 2025</v>
      </c>
      <c r="H8" s="26">
        <f>+'GHG Reduction Ranking'!C16</f>
        <v>4.2690000000000001</v>
      </c>
      <c r="I8" s="26">
        <f>+'GHG Reduction Ranking'!D16</f>
        <v>13</v>
      </c>
      <c r="J8" s="97">
        <f t="shared" si="0"/>
        <v>6</v>
      </c>
      <c r="K8" s="26"/>
      <c r="M8" s="26">
        <f>+F25</f>
        <v>22</v>
      </c>
      <c r="N8" s="135" t="str">
        <f>+G25</f>
        <v>Ind RH2 70% by 2050</v>
      </c>
      <c r="O8" s="156">
        <f>+J25</f>
        <v>12</v>
      </c>
      <c r="P8" s="94">
        <f t="shared" si="4"/>
        <v>4</v>
      </c>
      <c r="Q8" s="26">
        <f>+P8+O8</f>
        <v>16</v>
      </c>
      <c r="S8" s="26">
        <f>+'Eval Crtiteria Ranking'!A9</f>
        <v>5</v>
      </c>
      <c r="T8" s="3" t="str">
        <f>+'Eval Crtiteria Ranking'!B9</f>
        <v>100% Elec HP &amp; WH in New Res by 2025</v>
      </c>
      <c r="U8" s="120">
        <f>+'Eval Crtiteria Ranking'!C9</f>
        <v>61.25</v>
      </c>
      <c r="V8" s="26">
        <f>+'Eval Crtiteria Ranking'!D9</f>
        <v>8</v>
      </c>
      <c r="W8" s="91">
        <f t="shared" si="1"/>
        <v>11</v>
      </c>
      <c r="X8" s="26"/>
      <c r="Z8" s="26">
        <f>+S25</f>
        <v>22</v>
      </c>
      <c r="AA8" s="3" t="str">
        <f>+T25</f>
        <v>Ind RH2 70% by 2050</v>
      </c>
      <c r="AB8" s="130">
        <f>+W25</f>
        <v>12</v>
      </c>
      <c r="AC8" s="94">
        <f t="shared" si="6"/>
        <v>4</v>
      </c>
      <c r="AD8" s="26">
        <f>+D25</f>
        <v>16</v>
      </c>
      <c r="AF8" s="26">
        <f>+'Co-Benefits Ranking'!A6</f>
        <v>5</v>
      </c>
      <c r="AG8" s="3" t="str">
        <f>+'Co-Benefits Ranking'!B6</f>
        <v>100% Elec HP &amp; WH in New Res by 2025</v>
      </c>
      <c r="AH8" s="120">
        <f>+'Co-Benefits Ranking'!C6</f>
        <v>30.630000000000003</v>
      </c>
      <c r="AI8" s="26">
        <f>+'Co-Benefits Ranking'!D6</f>
        <v>3</v>
      </c>
      <c r="AJ8" s="91">
        <f t="shared" si="9"/>
        <v>18</v>
      </c>
      <c r="AK8" s="26"/>
      <c r="AM8" s="26">
        <f>+AF15</f>
        <v>12</v>
      </c>
      <c r="AN8" s="3" t="str">
        <f>+AG15</f>
        <v>Existing Com buildings 100% HPWH by 2043</v>
      </c>
      <c r="AO8" s="144">
        <f>+AJ15</f>
        <v>14</v>
      </c>
      <c r="AP8" s="26">
        <f t="shared" si="8"/>
        <v>10</v>
      </c>
      <c r="AQ8" s="26">
        <f t="shared" si="3"/>
        <v>24</v>
      </c>
    </row>
    <row r="9" spans="1:43">
      <c r="A9" s="26">
        <f>+'C-E Ranking'!A24</f>
        <v>6</v>
      </c>
      <c r="B9" s="3" t="str">
        <f>+'C-E Ranking'!B24</f>
        <v>100% Elec HP &amp; 50% WH in New Com by 2025</v>
      </c>
      <c r="C9" s="141">
        <f>+'C-E Ranking'!C24</f>
        <v>235.61305181838685</v>
      </c>
      <c r="D9" s="26">
        <f>+'C-E Ranking'!D24</f>
        <v>21</v>
      </c>
      <c r="F9" s="26">
        <f>+'GHG Reduction Ranking'!A26</f>
        <v>6</v>
      </c>
      <c r="G9" s="3" t="str">
        <f>+'GHG Reduction Ranking'!B26</f>
        <v>100% Elec HP &amp; 50% WH in New Com by 2025</v>
      </c>
      <c r="H9" s="26">
        <f>+'GHG Reduction Ranking'!C26</f>
        <v>1.123</v>
      </c>
      <c r="I9" s="26">
        <f>+'GHG Reduction Ranking'!D26</f>
        <v>23</v>
      </c>
      <c r="J9" s="97">
        <f t="shared" si="0"/>
        <v>-2</v>
      </c>
      <c r="K9" s="26"/>
      <c r="M9" s="26">
        <f>+F12</f>
        <v>9</v>
      </c>
      <c r="N9" s="135" t="str">
        <f>+G12</f>
        <v>Existing Res buildings 100% HP by 2043</v>
      </c>
      <c r="O9" s="156">
        <f>+J12</f>
        <v>8</v>
      </c>
      <c r="P9" s="94">
        <f t="shared" si="4"/>
        <v>17</v>
      </c>
      <c r="Q9" s="26">
        <f>+P9+O9</f>
        <v>25</v>
      </c>
      <c r="S9" s="26">
        <f>+'Eval Crtiteria Ranking'!A19</f>
        <v>6</v>
      </c>
      <c r="T9" s="3" t="str">
        <f>+'Eval Crtiteria Ranking'!B19</f>
        <v>100% Elec HP &amp; 50% WH in New Com by 2025</v>
      </c>
      <c r="U9" s="120">
        <f>+'Eval Crtiteria Ranking'!C19</f>
        <v>46.319999999999993</v>
      </c>
      <c r="V9" s="26">
        <f>+'Eval Crtiteria Ranking'!D19</f>
        <v>16</v>
      </c>
      <c r="W9" s="91">
        <f t="shared" si="1"/>
        <v>5</v>
      </c>
      <c r="X9" s="26"/>
      <c r="Z9" s="26">
        <f>+S26</f>
        <v>23</v>
      </c>
      <c r="AA9" s="3" t="str">
        <f>+T26</f>
        <v>RNG Full Potential by 2050</v>
      </c>
      <c r="AB9" s="130">
        <f>+W26</f>
        <v>12</v>
      </c>
      <c r="AC9" s="94">
        <f t="shared" si="6"/>
        <v>6</v>
      </c>
      <c r="AD9" s="26">
        <f>+AC9+AB9</f>
        <v>18</v>
      </c>
      <c r="AF9" s="26">
        <f>+'Co-Benefits Ranking'!A8</f>
        <v>6</v>
      </c>
      <c r="AG9" s="3" t="str">
        <f>+'Co-Benefits Ranking'!B8</f>
        <v>100% Elec HP &amp; 50% WH in New Com by 2025</v>
      </c>
      <c r="AH9" s="120">
        <f>+'Co-Benefits Ranking'!C8</f>
        <v>25.28</v>
      </c>
      <c r="AI9" s="26">
        <f>+'Co-Benefits Ranking'!D8</f>
        <v>5</v>
      </c>
      <c r="AJ9" s="91">
        <f t="shared" si="9"/>
        <v>18</v>
      </c>
      <c r="AK9" s="26"/>
      <c r="AM9" s="26">
        <f>+AF7</f>
        <v>4</v>
      </c>
      <c r="AN9" s="3" t="str">
        <f>+AG7</f>
        <v>Com Code Reduction 60% by 2030</v>
      </c>
      <c r="AO9" s="136">
        <f>+AJ7</f>
        <v>13</v>
      </c>
      <c r="AP9" s="26">
        <f t="shared" si="8"/>
        <v>6</v>
      </c>
      <c r="AQ9" s="26">
        <f t="shared" si="3"/>
        <v>19</v>
      </c>
    </row>
    <row r="10" spans="1:43">
      <c r="A10" s="26">
        <f>+'C-E Ranking'!A26</f>
        <v>7</v>
      </c>
      <c r="B10" s="3" t="str">
        <f>+'C-E Ranking'!B26</f>
        <v>Wz in Existing Res by 2040</v>
      </c>
      <c r="C10" s="141">
        <f>+'C-E Ranking'!C26</f>
        <v>712.55024512207581</v>
      </c>
      <c r="D10" s="26">
        <f>+'C-E Ranking'!D26</f>
        <v>23</v>
      </c>
      <c r="F10" s="26">
        <f>+'GHG Reduction Ranking'!A6</f>
        <v>7</v>
      </c>
      <c r="G10" s="3" t="str">
        <f>+'GHG Reduction Ranking'!B6</f>
        <v>Wz in Existing Res by 2040</v>
      </c>
      <c r="H10" s="26">
        <f>+'GHG Reduction Ranking'!C6</f>
        <v>19.577999999999999</v>
      </c>
      <c r="I10" s="26">
        <f>+'GHG Reduction Ranking'!D6</f>
        <v>3</v>
      </c>
      <c r="J10" s="97">
        <f t="shared" si="0"/>
        <v>20</v>
      </c>
      <c r="K10" s="26"/>
      <c r="M10" s="26">
        <f>+F27</f>
        <v>24</v>
      </c>
      <c r="N10" s="135" t="str">
        <f>+G27</f>
        <v>RH2 Injection 15% by 2035</v>
      </c>
      <c r="O10" s="156">
        <f>+J27</f>
        <v>8</v>
      </c>
      <c r="P10" s="94">
        <f t="shared" si="4"/>
        <v>9</v>
      </c>
      <c r="Q10" s="26">
        <f>+P10+O10</f>
        <v>17</v>
      </c>
      <c r="S10" s="26">
        <f>+'Eval Crtiteria Ranking'!A4</f>
        <v>7</v>
      </c>
      <c r="T10" s="3" t="str">
        <f>+'Eval Crtiteria Ranking'!B4</f>
        <v>Wz in Existing Res by 2040</v>
      </c>
      <c r="U10" s="120">
        <f>+'Eval Crtiteria Ranking'!C4</f>
        <v>82.539999999999992</v>
      </c>
      <c r="V10" s="26">
        <f>+'Eval Crtiteria Ranking'!D4</f>
        <v>1</v>
      </c>
      <c r="W10" s="91">
        <f t="shared" si="1"/>
        <v>22</v>
      </c>
      <c r="X10" s="26"/>
      <c r="Z10" s="26">
        <f>+S8</f>
        <v>5</v>
      </c>
      <c r="AA10" s="3" t="str">
        <f>+T8</f>
        <v>100% Elec HP &amp; WH in New Res by 2025</v>
      </c>
      <c r="AB10" s="130">
        <f>+W8</f>
        <v>11</v>
      </c>
      <c r="AC10" s="94">
        <f t="shared" si="6"/>
        <v>8</v>
      </c>
      <c r="AD10" s="26">
        <f>+AC10+AB10</f>
        <v>19</v>
      </c>
      <c r="AF10" s="26">
        <f>+'Co-Benefits Ranking'!A5</f>
        <v>7</v>
      </c>
      <c r="AG10" s="3" t="str">
        <f>+'Co-Benefits Ranking'!B5</f>
        <v>Wz in Existing Res by 2040</v>
      </c>
      <c r="AH10" s="120">
        <f>+'Co-Benefits Ranking'!C5</f>
        <v>39.14</v>
      </c>
      <c r="AI10" s="26">
        <f>+'Co-Benefits Ranking'!D5</f>
        <v>2</v>
      </c>
      <c r="AJ10" s="91">
        <f t="shared" si="9"/>
        <v>20</v>
      </c>
      <c r="AK10" s="26"/>
      <c r="AM10" s="26">
        <f>+AF12</f>
        <v>9</v>
      </c>
      <c r="AN10" s="3" t="str">
        <f>+AG12</f>
        <v>Existing Res buildings 100% HP by 2043</v>
      </c>
      <c r="AO10" s="136">
        <f>+AJ12</f>
        <v>11</v>
      </c>
      <c r="AP10" s="26">
        <f t="shared" si="8"/>
        <v>1</v>
      </c>
      <c r="AQ10" s="26">
        <f t="shared" si="3"/>
        <v>12</v>
      </c>
    </row>
    <row r="11" spans="1:43">
      <c r="A11" s="26">
        <f>+'C-E Ranking'!A25</f>
        <v>8</v>
      </c>
      <c r="B11" s="3" t="str">
        <f>+'C-E Ranking'!B25</f>
        <v>Wz in Existing Com by 2040</v>
      </c>
      <c r="C11" s="141">
        <f>+'C-E Ranking'!C25</f>
        <v>449.31254974441498</v>
      </c>
      <c r="D11" s="26">
        <f>+'C-E Ranking'!D25</f>
        <v>22</v>
      </c>
      <c r="F11" s="26">
        <f>+'GHG Reduction Ranking'!A5</f>
        <v>8</v>
      </c>
      <c r="G11" s="3" t="str">
        <f>+'GHG Reduction Ranking'!B5</f>
        <v>Wz in Existing Com by 2040</v>
      </c>
      <c r="H11" s="26">
        <f>+'GHG Reduction Ranking'!C5</f>
        <v>21.128</v>
      </c>
      <c r="I11" s="26">
        <f>+'GHG Reduction Ranking'!D5</f>
        <v>2</v>
      </c>
      <c r="J11" s="97">
        <f t="shared" si="0"/>
        <v>20</v>
      </c>
      <c r="K11" s="26"/>
      <c r="M11" s="26">
        <f>+F8</f>
        <v>5</v>
      </c>
      <c r="N11" s="135" t="str">
        <f>+G8</f>
        <v>100% Elec HP &amp; WH in New Res by 2025</v>
      </c>
      <c r="O11" s="156">
        <f>+J8</f>
        <v>6</v>
      </c>
      <c r="P11" s="94">
        <f t="shared" si="4"/>
        <v>13</v>
      </c>
      <c r="Q11" s="26">
        <f>+P11+O11</f>
        <v>19</v>
      </c>
      <c r="S11" s="26">
        <f>+'Eval Crtiteria Ranking'!A5</f>
        <v>8</v>
      </c>
      <c r="T11" s="3" t="str">
        <f>+'Eval Crtiteria Ranking'!B5</f>
        <v>Wz in Existing Com by 2040</v>
      </c>
      <c r="U11" s="120">
        <f>+'Eval Crtiteria Ranking'!C5</f>
        <v>70.3</v>
      </c>
      <c r="V11" s="26">
        <f>+'Eval Crtiteria Ranking'!D5</f>
        <v>2</v>
      </c>
      <c r="W11" s="91">
        <f t="shared" si="1"/>
        <v>20</v>
      </c>
      <c r="X11" s="26"/>
      <c r="Z11" s="26">
        <f>+S6</f>
        <v>3</v>
      </c>
      <c r="AA11" s="3" t="str">
        <f>+T6</f>
        <v>Res Code Reduction 60% by 2030</v>
      </c>
      <c r="AB11" s="130">
        <f>+W6</f>
        <v>8</v>
      </c>
      <c r="AC11" s="94">
        <f t="shared" si="6"/>
        <v>3</v>
      </c>
      <c r="AD11" s="26">
        <f>+AC11+AB11</f>
        <v>11</v>
      </c>
      <c r="AF11" s="26">
        <f>+'Co-Benefits Ranking'!A10</f>
        <v>8</v>
      </c>
      <c r="AG11" s="3" t="str">
        <f>+'Co-Benefits Ranking'!B10</f>
        <v>Wz in Existing Com by 2040</v>
      </c>
      <c r="AH11" s="120">
        <f>+'Co-Benefits Ranking'!C10</f>
        <v>24</v>
      </c>
      <c r="AI11" s="26">
        <f>+'Co-Benefits Ranking'!D10</f>
        <v>7</v>
      </c>
      <c r="AJ11" s="91">
        <f t="shared" si="9"/>
        <v>18</v>
      </c>
      <c r="AK11" s="26"/>
      <c r="AM11" s="26">
        <f>+AF6</f>
        <v>3</v>
      </c>
      <c r="AN11" s="3" t="str">
        <f>+AG6</f>
        <v>Res Code Reduction 60% by 2030</v>
      </c>
      <c r="AO11" s="136">
        <f>+AJ6</f>
        <v>7</v>
      </c>
      <c r="AP11" s="26">
        <f t="shared" si="8"/>
        <v>4</v>
      </c>
      <c r="AQ11" s="26">
        <f t="shared" si="3"/>
        <v>11</v>
      </c>
    </row>
    <row r="12" spans="1:43">
      <c r="A12" s="26">
        <f>+'C-E Ranking'!A28</f>
        <v>9</v>
      </c>
      <c r="B12" s="3" t="str">
        <f>+'C-E Ranking'!B28</f>
        <v>Existing Res buildings 100% HP by 2043</v>
      </c>
      <c r="C12" s="141">
        <f>+'C-E Ranking'!C28</f>
        <v>1346.8505653284672</v>
      </c>
      <c r="D12" s="26">
        <f>+'C-E Ranking'!D28</f>
        <v>25</v>
      </c>
      <c r="F12" s="26">
        <f>+'GHG Reduction Ranking'!A20</f>
        <v>9</v>
      </c>
      <c r="G12" s="3" t="str">
        <f>+'GHG Reduction Ranking'!B20</f>
        <v>Existing Res buildings 100% HP by 2043</v>
      </c>
      <c r="H12" s="26">
        <f>+'GHG Reduction Ranking'!C20</f>
        <v>2.74</v>
      </c>
      <c r="I12" s="26">
        <f>+'GHG Reduction Ranking'!D20</f>
        <v>17</v>
      </c>
      <c r="J12" s="97">
        <f t="shared" si="0"/>
        <v>8</v>
      </c>
      <c r="K12" s="26"/>
      <c r="O12" s="129"/>
      <c r="P12" s="93"/>
      <c r="Q12" s="48"/>
      <c r="S12" s="26">
        <f>+'Eval Crtiteria Ranking'!A7</f>
        <v>9</v>
      </c>
      <c r="T12" s="3" t="str">
        <f>+'Eval Crtiteria Ranking'!B7</f>
        <v>Existing Res buildings 100% HP by 2043</v>
      </c>
      <c r="U12" s="120">
        <f>+'Eval Crtiteria Ranking'!C7</f>
        <v>63.33</v>
      </c>
      <c r="V12" s="26">
        <f>+'Eval Crtiteria Ranking'!D7</f>
        <v>5</v>
      </c>
      <c r="W12" s="91">
        <f t="shared" si="1"/>
        <v>20</v>
      </c>
      <c r="X12" s="26"/>
      <c r="AF12" s="26">
        <f>+'Co-Benefits Ranking'!A4</f>
        <v>9</v>
      </c>
      <c r="AG12" s="3" t="str">
        <f>+'Co-Benefits Ranking'!B4</f>
        <v>Existing Res buildings 100% HP by 2043</v>
      </c>
      <c r="AH12" s="120">
        <f>+'Co-Benefits Ranking'!C4</f>
        <v>40.81</v>
      </c>
      <c r="AI12" s="26">
        <f>+'Co-Benefits Ranking'!D4</f>
        <v>1</v>
      </c>
      <c r="AJ12" s="91">
        <f t="shared" si="9"/>
        <v>11</v>
      </c>
      <c r="AK12" s="26"/>
    </row>
    <row r="13" spans="1:43" ht="21">
      <c r="A13" s="26">
        <f>+'C-E Ranking'!A15</f>
        <v>10</v>
      </c>
      <c r="B13" s="3" t="str">
        <f>+'C-E Ranking'!B15</f>
        <v>Existing Res buildings 100% HPWH by 2043</v>
      </c>
      <c r="C13" s="141">
        <f>+'C-E Ranking'!C15</f>
        <v>-56.809596420581656</v>
      </c>
      <c r="D13" s="26">
        <f>+'C-E Ranking'!D15</f>
        <v>12</v>
      </c>
      <c r="F13" s="26">
        <f>+'GHG Reduction Ranking'!A15</f>
        <v>10</v>
      </c>
      <c r="G13" s="3" t="str">
        <f>+'GHG Reduction Ranking'!B15</f>
        <v>Existing Res buildings 100% HPWH by 2043</v>
      </c>
      <c r="H13" s="26">
        <f>+'GHG Reduction Ranking'!C15</f>
        <v>4.47</v>
      </c>
      <c r="I13" s="26">
        <f>+'GHG Reduction Ranking'!D15</f>
        <v>12</v>
      </c>
      <c r="J13" s="97">
        <f t="shared" si="0"/>
        <v>0</v>
      </c>
      <c r="K13" s="26"/>
      <c r="M13" s="174" t="s">
        <v>221</v>
      </c>
      <c r="N13" s="175"/>
      <c r="O13" s="175"/>
      <c r="P13" s="176"/>
      <c r="Q13" s="26"/>
      <c r="S13" s="26">
        <f>+'Eval Crtiteria Ranking'!A13</f>
        <v>10</v>
      </c>
      <c r="T13" s="3" t="str">
        <f>+'Eval Crtiteria Ranking'!B13</f>
        <v>Existing Res buildings 100% HPWH by 2043</v>
      </c>
      <c r="U13" s="120">
        <f>+'Eval Crtiteria Ranking'!C13</f>
        <v>54.459999999999994</v>
      </c>
      <c r="V13" s="26">
        <f>+'Eval Crtiteria Ranking'!D13</f>
        <v>10</v>
      </c>
      <c r="W13" s="91">
        <f t="shared" si="1"/>
        <v>2</v>
      </c>
      <c r="X13" s="26"/>
      <c r="Z13" s="174" t="s">
        <v>221</v>
      </c>
      <c r="AA13" s="175"/>
      <c r="AB13" s="175"/>
      <c r="AC13" s="176"/>
      <c r="AD13" s="26"/>
      <c r="AF13" s="26">
        <f>+'Co-Benefits Ranking'!A12</f>
        <v>10</v>
      </c>
      <c r="AG13" s="3" t="str">
        <f>+'Co-Benefits Ranking'!B12</f>
        <v>Existing Res buildings 100% HPWH by 2043</v>
      </c>
      <c r="AH13" s="120">
        <f>+'Co-Benefits Ranking'!C12</f>
        <v>21.9</v>
      </c>
      <c r="AI13" s="26">
        <f>+'Co-Benefits Ranking'!D12</f>
        <v>9</v>
      </c>
      <c r="AJ13" s="91">
        <f t="shared" si="9"/>
        <v>4</v>
      </c>
      <c r="AK13" s="26"/>
      <c r="AM13" s="126" t="s">
        <v>221</v>
      </c>
      <c r="AN13" s="142"/>
      <c r="AO13" s="127"/>
      <c r="AP13" s="128"/>
      <c r="AQ13" s="26"/>
    </row>
    <row r="14" spans="1:43">
      <c r="A14" s="26">
        <f>+'C-E Ranking'!A16</f>
        <v>11</v>
      </c>
      <c r="B14" s="3" t="str">
        <f>+'C-E Ranking'!B16</f>
        <v>Existing Com buildings 100% HP by 2043</v>
      </c>
      <c r="C14" s="141">
        <f>+'C-E Ranking'!C16</f>
        <v>-49.928223960184859</v>
      </c>
      <c r="D14" s="26">
        <f>+'C-E Ranking'!D16</f>
        <v>13</v>
      </c>
      <c r="F14" s="26">
        <f>+'GHG Reduction Ranking'!A19</f>
        <v>11</v>
      </c>
      <c r="G14" s="3" t="str">
        <f>+'GHG Reduction Ranking'!B19</f>
        <v>Existing Com buildings 100% HP by 2043</v>
      </c>
      <c r="H14" s="26">
        <f>+'GHG Reduction Ranking'!C19</f>
        <v>2.8130000000000002</v>
      </c>
      <c r="I14" s="26">
        <f>+'GHG Reduction Ranking'!D19</f>
        <v>16</v>
      </c>
      <c r="J14" s="97">
        <f t="shared" si="0"/>
        <v>-3</v>
      </c>
      <c r="K14" s="26"/>
      <c r="M14" s="26">
        <f>+F18</f>
        <v>15</v>
      </c>
      <c r="N14" s="3" t="str">
        <f>+G18</f>
        <v>10% Mode Shift MD to LD</v>
      </c>
      <c r="O14" s="131">
        <f>+J18</f>
        <v>-21</v>
      </c>
      <c r="P14" s="94">
        <f t="shared" ref="P14:P21" si="10">VLOOKUP(N14,$G$4:$I$28,3,FALSE)</f>
        <v>25</v>
      </c>
      <c r="Q14" s="26">
        <f>+P14+O14</f>
        <v>4</v>
      </c>
      <c r="S14" s="26">
        <f>+'Eval Crtiteria Ranking'!A16</f>
        <v>11</v>
      </c>
      <c r="T14" s="3" t="str">
        <f>+'Eval Crtiteria Ranking'!B16</f>
        <v>Existing Com buildings 100% HP by 2043</v>
      </c>
      <c r="U14" s="120">
        <f>+'Eval Crtiteria Ranking'!C16</f>
        <v>49.11</v>
      </c>
      <c r="V14" s="26">
        <f>+'Eval Crtiteria Ranking'!D16</f>
        <v>13</v>
      </c>
      <c r="W14" s="91">
        <f t="shared" si="1"/>
        <v>0</v>
      </c>
      <c r="X14" s="26"/>
      <c r="Z14" s="26">
        <f>+S18</f>
        <v>15</v>
      </c>
      <c r="AA14" s="3" t="str">
        <f>+T18</f>
        <v>10% Mode Shift MD to LD</v>
      </c>
      <c r="AB14" s="131">
        <f>+W18</f>
        <v>-21</v>
      </c>
      <c r="AC14" s="94">
        <f t="shared" ref="AC14:AC21" si="11">VLOOKUP(AA14,$T$4:$V$28,3,FALSE)</f>
        <v>25</v>
      </c>
      <c r="AD14" s="26">
        <f>+AC14+AB14</f>
        <v>4</v>
      </c>
      <c r="AF14" s="26">
        <f>+'Co-Benefits Ranking'!A14</f>
        <v>11</v>
      </c>
      <c r="AG14" s="3" t="str">
        <f>+'Co-Benefits Ranking'!B14</f>
        <v>Existing Com buildings 100% HP by 2043</v>
      </c>
      <c r="AH14" s="120">
        <f>+'Co-Benefits Ranking'!C14</f>
        <v>21.21</v>
      </c>
      <c r="AI14" s="26">
        <f>+'Co-Benefits Ranking'!D14</f>
        <v>11</v>
      </c>
      <c r="AJ14" s="91">
        <f t="shared" ref="AJ14:AJ28" si="12">+D14-AI14</f>
        <v>2</v>
      </c>
      <c r="AK14" s="26"/>
      <c r="AM14" s="26">
        <f>+AF4</f>
        <v>1</v>
      </c>
      <c r="AN14" s="3" t="str">
        <f>+AG4</f>
        <v>Reduced Res Floor Area</v>
      </c>
      <c r="AO14" s="137">
        <f>+AJ4</f>
        <v>-20</v>
      </c>
      <c r="AP14" s="26">
        <f t="shared" ref="AP14:AP21" si="13">VLOOKUP(AN14,$AG$4:$AI$28,3,FALSE)</f>
        <v>23</v>
      </c>
      <c r="AQ14" s="26">
        <f t="shared" ref="AQ14:AQ21" si="14">+AO14+AP14</f>
        <v>3</v>
      </c>
    </row>
    <row r="15" spans="1:43">
      <c r="A15" s="26">
        <f>+'C-E Ranking'!A27</f>
        <v>12</v>
      </c>
      <c r="B15" s="3" t="str">
        <f>+'C-E Ranking'!B27</f>
        <v>Existing Com buildings 100% HPWH by 2043</v>
      </c>
      <c r="C15" s="141">
        <f>+'C-E Ranking'!C27</f>
        <v>1132.8828330632091</v>
      </c>
      <c r="D15" s="26">
        <f>+'C-E Ranking'!D27</f>
        <v>24</v>
      </c>
      <c r="F15" s="26">
        <f>+'GHG Reduction Ranking'!A27</f>
        <v>12</v>
      </c>
      <c r="G15" s="3" t="str">
        <f>+'GHG Reduction Ranking'!B27</f>
        <v>Existing Com buildings 100% HPWH by 2043</v>
      </c>
      <c r="H15" s="26">
        <f>+'GHG Reduction Ranking'!C27</f>
        <v>0.61699999999999999</v>
      </c>
      <c r="I15" s="26">
        <f>+'GHG Reduction Ranking'!D27</f>
        <v>24</v>
      </c>
      <c r="J15" s="97">
        <f t="shared" si="0"/>
        <v>0</v>
      </c>
      <c r="K15" s="26"/>
      <c r="M15" s="26">
        <f>+F4</f>
        <v>1</v>
      </c>
      <c r="N15" s="3" t="str">
        <f>+G4</f>
        <v>Reduced Res Floor Area</v>
      </c>
      <c r="O15" s="131">
        <f>+J4</f>
        <v>-18</v>
      </c>
      <c r="P15" s="94">
        <f t="shared" si="10"/>
        <v>21</v>
      </c>
      <c r="Q15" s="26">
        <f t="shared" ref="Q15" si="15">+P15+O15</f>
        <v>3</v>
      </c>
      <c r="S15" s="26">
        <f>+'Eval Crtiteria Ranking'!A26</f>
        <v>12</v>
      </c>
      <c r="T15" s="3" t="str">
        <f>+'Eval Crtiteria Ranking'!B26</f>
        <v>Existing Com buildings 100% HPWH by 2043</v>
      </c>
      <c r="U15" s="120">
        <f>+'Eval Crtiteria Ranking'!C26</f>
        <v>37.950000000000003</v>
      </c>
      <c r="V15" s="26">
        <f>+'Eval Crtiteria Ranking'!D26</f>
        <v>23</v>
      </c>
      <c r="W15" s="91">
        <f t="shared" si="1"/>
        <v>1</v>
      </c>
      <c r="X15" s="26"/>
      <c r="Z15" s="26">
        <f>+S4</f>
        <v>1</v>
      </c>
      <c r="AA15" s="3" t="str">
        <f>+T4</f>
        <v>Reduced Res Floor Area</v>
      </c>
      <c r="AB15" s="131">
        <f>+W4</f>
        <v>-19</v>
      </c>
      <c r="AC15" s="94">
        <f t="shared" si="11"/>
        <v>22</v>
      </c>
      <c r="AD15" s="26">
        <f t="shared" ref="AD15" si="16">+AC15+AB15</f>
        <v>3</v>
      </c>
      <c r="AF15" s="26">
        <f>+'Co-Benefits Ranking'!A13</f>
        <v>12</v>
      </c>
      <c r="AG15" s="3" t="str">
        <f>+'Co-Benefits Ranking'!B13</f>
        <v>Existing Com buildings 100% HPWH by 2043</v>
      </c>
      <c r="AH15" s="120">
        <f>+'Co-Benefits Ranking'!C13</f>
        <v>21.230000000000004</v>
      </c>
      <c r="AI15" s="26">
        <f>+'Co-Benefits Ranking'!D13</f>
        <v>10</v>
      </c>
      <c r="AJ15" s="91">
        <f t="shared" si="12"/>
        <v>14</v>
      </c>
      <c r="AK15" s="26"/>
      <c r="AM15" s="26">
        <f>+AF17</f>
        <v>14</v>
      </c>
      <c r="AN15" s="3" t="str">
        <f>+AG17</f>
        <v>MD/HD Zero Emission Plan</v>
      </c>
      <c r="AO15" s="137">
        <f>+AJ17</f>
        <v>-20</v>
      </c>
      <c r="AP15" s="26">
        <f t="shared" si="13"/>
        <v>25</v>
      </c>
      <c r="AQ15" s="26">
        <f t="shared" si="14"/>
        <v>5</v>
      </c>
    </row>
    <row r="16" spans="1:43">
      <c r="A16" s="26">
        <f>+'C-E Ranking'!A13</f>
        <v>13</v>
      </c>
      <c r="B16" s="3" t="str">
        <f>+'C-E Ranking'!B13</f>
        <v>Non-CPP Ind EE 50% by 2050</v>
      </c>
      <c r="C16" s="141">
        <f>+'C-E Ranking'!C13</f>
        <v>-115.31074678804787</v>
      </c>
      <c r="D16" s="26">
        <f>+'C-E Ranking'!D13</f>
        <v>10</v>
      </c>
      <c r="F16" s="26">
        <f>+'GHG Reduction Ranking'!A8</f>
        <v>13</v>
      </c>
      <c r="G16" s="3" t="str">
        <f>+'GHG Reduction Ranking'!B8</f>
        <v>Non-CPP Ind EE 50% by 2050</v>
      </c>
      <c r="H16" s="26">
        <f>+'GHG Reduction Ranking'!C8</f>
        <v>13.621</v>
      </c>
      <c r="I16" s="26">
        <f>+'GHG Reduction Ranking'!D8</f>
        <v>5</v>
      </c>
      <c r="J16" s="97">
        <f t="shared" si="0"/>
        <v>5</v>
      </c>
      <c r="K16" s="26"/>
      <c r="M16" s="26">
        <f>+F17</f>
        <v>14</v>
      </c>
      <c r="N16" s="3" t="str">
        <f>+G17</f>
        <v>MD/HD Zero Emission Plan</v>
      </c>
      <c r="O16" s="131">
        <f>+J17</f>
        <v>-1</v>
      </c>
      <c r="P16" s="94">
        <f t="shared" si="10"/>
        <v>6</v>
      </c>
      <c r="Q16" s="26">
        <f t="shared" ref="Q16:Q21" si="17">+P16+O16</f>
        <v>5</v>
      </c>
      <c r="S16" s="26">
        <f>+'Eval Crtiteria Ranking'!A15</f>
        <v>13</v>
      </c>
      <c r="T16" s="3" t="str">
        <f>+'Eval Crtiteria Ranking'!B15</f>
        <v>Non-CPP Ind EE 50% by 2050</v>
      </c>
      <c r="U16" s="120">
        <f>+'Eval Crtiteria Ranking'!C15</f>
        <v>50.859999999999992</v>
      </c>
      <c r="V16" s="26">
        <f>+'Eval Crtiteria Ranking'!D15</f>
        <v>12</v>
      </c>
      <c r="W16" s="91">
        <f t="shared" si="1"/>
        <v>-2</v>
      </c>
      <c r="X16" s="26"/>
      <c r="Z16" s="26">
        <f>+S17</f>
        <v>14</v>
      </c>
      <c r="AA16" s="3" t="str">
        <f>+T17</f>
        <v>MD/HD Zero Emission Plan</v>
      </c>
      <c r="AB16" s="131">
        <f>+W17</f>
        <v>-16</v>
      </c>
      <c r="AC16" s="94">
        <f t="shared" si="11"/>
        <v>21</v>
      </c>
      <c r="AD16" s="26">
        <f t="shared" ref="AD16:AD21" si="18">+AC16+AB16</f>
        <v>5</v>
      </c>
      <c r="AF16" s="26">
        <f>+'Co-Benefits Ranking'!A19</f>
        <v>13</v>
      </c>
      <c r="AG16" s="3" t="str">
        <f>+'Co-Benefits Ranking'!B19</f>
        <v>Non-CPP Ind EE 50% by 2050</v>
      </c>
      <c r="AH16" s="120">
        <f>+'Co-Benefits Ranking'!C19</f>
        <v>14.260000000000002</v>
      </c>
      <c r="AI16" s="26">
        <f>+'Co-Benefits Ranking'!D19</f>
        <v>16</v>
      </c>
      <c r="AJ16" s="91">
        <f t="shared" si="12"/>
        <v>-6</v>
      </c>
      <c r="AK16" s="26"/>
      <c r="AM16" s="26">
        <f>+AF18</f>
        <v>15</v>
      </c>
      <c r="AN16" s="3" t="str">
        <f>+AG18</f>
        <v>10% Mode Shift MD to LD</v>
      </c>
      <c r="AO16" s="137">
        <f>+AJ18</f>
        <v>-18</v>
      </c>
      <c r="AP16" s="26">
        <f t="shared" si="13"/>
        <v>22</v>
      </c>
      <c r="AQ16" s="26">
        <f t="shared" si="14"/>
        <v>4</v>
      </c>
    </row>
    <row r="17" spans="1:43">
      <c r="A17" s="26">
        <f>+'C-E Ranking'!A8</f>
        <v>14</v>
      </c>
      <c r="B17" s="3" t="str">
        <f>+'C-E Ranking'!B8</f>
        <v>MD/HD Zero Emission Plan</v>
      </c>
      <c r="C17" s="141">
        <f>+'C-E Ranking'!C8</f>
        <v>-843.9458075707222</v>
      </c>
      <c r="D17" s="26">
        <f>+'C-E Ranking'!D8</f>
        <v>5</v>
      </c>
      <c r="F17" s="26">
        <f>+'GHG Reduction Ranking'!A9</f>
        <v>14</v>
      </c>
      <c r="G17" s="3" t="str">
        <f>+'GHG Reduction Ranking'!B9</f>
        <v>MD/HD Zero Emission Plan</v>
      </c>
      <c r="H17" s="26">
        <f>+'GHG Reduction Ranking'!C9</f>
        <v>12.337</v>
      </c>
      <c r="I17" s="26">
        <f>+'GHG Reduction Ranking'!D9</f>
        <v>6</v>
      </c>
      <c r="J17" s="97">
        <f t="shared" si="0"/>
        <v>-1</v>
      </c>
      <c r="K17" s="26"/>
      <c r="M17" s="26">
        <f>+F5</f>
        <v>2</v>
      </c>
      <c r="N17" s="3" t="str">
        <f>+G5</f>
        <v>Higher Urban Res Density</v>
      </c>
      <c r="O17" s="131">
        <f>+J5</f>
        <v>-21</v>
      </c>
      <c r="P17" s="94">
        <f t="shared" si="10"/>
        <v>22</v>
      </c>
      <c r="Q17" s="26">
        <f t="shared" si="17"/>
        <v>1</v>
      </c>
      <c r="S17" s="26">
        <f>+'Eval Crtiteria Ranking'!A23</f>
        <v>14</v>
      </c>
      <c r="T17" s="3" t="str">
        <f>+'Eval Crtiteria Ranking'!B23</f>
        <v>MD/HD Zero Emission Plan</v>
      </c>
      <c r="U17" s="120">
        <f>+'Eval Crtiteria Ranking'!C23</f>
        <v>42.599999999999994</v>
      </c>
      <c r="V17" s="26">
        <f>+'Eval Crtiteria Ranking'!D23</f>
        <v>21</v>
      </c>
      <c r="W17" s="91">
        <f t="shared" si="1"/>
        <v>-16</v>
      </c>
      <c r="X17" s="26"/>
      <c r="Z17" s="26">
        <f>+S5</f>
        <v>2</v>
      </c>
      <c r="AA17" s="3" t="str">
        <f>+T5</f>
        <v>Higher Urban Res Density</v>
      </c>
      <c r="AB17" s="131">
        <f>+W5</f>
        <v>-14</v>
      </c>
      <c r="AC17" s="94">
        <f t="shared" si="11"/>
        <v>15</v>
      </c>
      <c r="AD17" s="26">
        <f t="shared" si="18"/>
        <v>1</v>
      </c>
      <c r="AF17" s="26">
        <f>+'Co-Benefits Ranking'!A28</f>
        <v>14</v>
      </c>
      <c r="AG17" s="3" t="str">
        <f>+'Co-Benefits Ranking'!B28</f>
        <v>MD/HD Zero Emission Plan</v>
      </c>
      <c r="AH17" s="120">
        <f>+'Co-Benefits Ranking'!C28</f>
        <v>4.5</v>
      </c>
      <c r="AI17" s="26">
        <f>+'Co-Benefits Ranking'!D28</f>
        <v>25</v>
      </c>
      <c r="AJ17" s="91">
        <f t="shared" si="12"/>
        <v>-20</v>
      </c>
      <c r="AK17" s="26"/>
      <c r="AM17" s="26">
        <f>+AF21</f>
        <v>18</v>
      </c>
      <c r="AN17" s="3" t="str">
        <f>+AG21</f>
        <v>Carshare Increases by 2035</v>
      </c>
      <c r="AO17" s="137">
        <f>+AJ21</f>
        <v>-16</v>
      </c>
      <c r="AP17" s="26">
        <f t="shared" si="13"/>
        <v>24</v>
      </c>
      <c r="AQ17" s="26">
        <f t="shared" si="14"/>
        <v>8</v>
      </c>
    </row>
    <row r="18" spans="1:43">
      <c r="A18" s="26">
        <f>+'C-E Ranking'!A7</f>
        <v>15</v>
      </c>
      <c r="B18" s="3" t="str">
        <f>+'C-E Ranking'!B7</f>
        <v>10% Mode Shift MD to LD</v>
      </c>
      <c r="C18" s="141">
        <f>+'C-E Ranking'!C7</f>
        <v>-1355.6587329931972</v>
      </c>
      <c r="D18" s="26">
        <f>+'C-E Ranking'!D7</f>
        <v>4</v>
      </c>
      <c r="F18" s="26">
        <f>+'GHG Reduction Ranking'!A28</f>
        <v>15</v>
      </c>
      <c r="G18" s="3" t="str">
        <f>+'GHG Reduction Ranking'!B28</f>
        <v>10% Mode Shift MD to LD</v>
      </c>
      <c r="H18" s="26">
        <f>+'GHG Reduction Ranking'!C28</f>
        <v>0.58799999999999997</v>
      </c>
      <c r="I18" s="26">
        <f>+'GHG Reduction Ranking'!D28</f>
        <v>25</v>
      </c>
      <c r="J18" s="97">
        <f t="shared" si="0"/>
        <v>-21</v>
      </c>
      <c r="K18" s="26"/>
      <c r="M18" s="26">
        <f>+F21</f>
        <v>18</v>
      </c>
      <c r="N18" s="3" t="str">
        <f>+G21</f>
        <v>Carshare Increases by 2035</v>
      </c>
      <c r="O18" s="131">
        <f>+J21</f>
        <v>-3</v>
      </c>
      <c r="P18" s="94">
        <f t="shared" si="10"/>
        <v>11</v>
      </c>
      <c r="Q18" s="26">
        <f t="shared" si="17"/>
        <v>8</v>
      </c>
      <c r="S18" s="26">
        <f>+'Eval Crtiteria Ranking'!A28</f>
        <v>15</v>
      </c>
      <c r="T18" s="3" t="str">
        <f>+'Eval Crtiteria Ranking'!B28</f>
        <v>10% Mode Shift MD to LD</v>
      </c>
      <c r="U18" s="120">
        <f>+'Eval Crtiteria Ranking'!C28</f>
        <v>33.71</v>
      </c>
      <c r="V18" s="26">
        <f>+'Eval Crtiteria Ranking'!D28</f>
        <v>25</v>
      </c>
      <c r="W18" s="91">
        <f t="shared" si="1"/>
        <v>-21</v>
      </c>
      <c r="X18" s="26"/>
      <c r="Z18" s="26">
        <f>+S21</f>
        <v>18</v>
      </c>
      <c r="AA18" s="3" t="str">
        <f>+T21</f>
        <v>Carshare Increases by 2035</v>
      </c>
      <c r="AB18" s="131">
        <f>+W21</f>
        <v>-11</v>
      </c>
      <c r="AC18" s="94">
        <f t="shared" si="11"/>
        <v>19</v>
      </c>
      <c r="AD18" s="26">
        <f t="shared" si="18"/>
        <v>8</v>
      </c>
      <c r="AF18" s="26">
        <f>+'Co-Benefits Ranking'!A25</f>
        <v>15</v>
      </c>
      <c r="AG18" s="3" t="str">
        <f>+'Co-Benefits Ranking'!B25</f>
        <v>10% Mode Shift MD to LD</v>
      </c>
      <c r="AH18" s="120">
        <f>+'Co-Benefits Ranking'!C25</f>
        <v>10.770000000000001</v>
      </c>
      <c r="AI18" s="26">
        <f>+'Co-Benefits Ranking'!D25</f>
        <v>22</v>
      </c>
      <c r="AJ18" s="91">
        <f t="shared" si="12"/>
        <v>-18</v>
      </c>
      <c r="AK18" s="26"/>
      <c r="AM18" s="26">
        <f>+AF20</f>
        <v>17</v>
      </c>
      <c r="AN18" s="3" t="str">
        <f>+AG20</f>
        <v>Increase Amtrak Ridership</v>
      </c>
      <c r="AO18" s="137">
        <f>+AJ20</f>
        <v>-11</v>
      </c>
      <c r="AP18" s="26">
        <f t="shared" si="13"/>
        <v>18</v>
      </c>
      <c r="AQ18" s="26">
        <f t="shared" si="14"/>
        <v>7</v>
      </c>
    </row>
    <row r="19" spans="1:43">
      <c r="A19" s="26">
        <f>+'C-E Ranking'!A9</f>
        <v>16</v>
      </c>
      <c r="B19" s="3" t="str">
        <f>+'C-E Ranking'!B9</f>
        <v>10% Micro-mobility by 2035</v>
      </c>
      <c r="C19" s="141">
        <f>+'C-E Ranking'!C9</f>
        <v>-805.23519406709181</v>
      </c>
      <c r="D19" s="26">
        <f>+'C-E Ranking'!D9</f>
        <v>6</v>
      </c>
      <c r="F19" s="26">
        <f>+'GHG Reduction Ranking'!A17</f>
        <v>16</v>
      </c>
      <c r="G19" s="3" t="str">
        <f>+'GHG Reduction Ranking'!B17</f>
        <v>10% Micro-mobility by 2035</v>
      </c>
      <c r="H19" s="26">
        <f>+'GHG Reduction Ranking'!C17</f>
        <v>3.6070000000000002</v>
      </c>
      <c r="I19" s="26">
        <f>+'GHG Reduction Ranking'!D17</f>
        <v>14</v>
      </c>
      <c r="J19" s="97">
        <f t="shared" si="0"/>
        <v>-8</v>
      </c>
      <c r="K19" s="26"/>
      <c r="M19" s="26">
        <f>+F20</f>
        <v>17</v>
      </c>
      <c r="N19" s="3" t="str">
        <f>+G20</f>
        <v>Increase Amtrak Ridership</v>
      </c>
      <c r="O19" s="131">
        <f>+J20</f>
        <v>-3</v>
      </c>
      <c r="P19" s="94">
        <f t="shared" si="10"/>
        <v>10</v>
      </c>
      <c r="Q19" s="26">
        <f t="shared" si="17"/>
        <v>7</v>
      </c>
      <c r="S19" s="26">
        <f>+'Eval Crtiteria Ranking'!A14</f>
        <v>16</v>
      </c>
      <c r="T19" s="3" t="str">
        <f>+'Eval Crtiteria Ranking'!B14</f>
        <v>10% Micro-mobility by 2035</v>
      </c>
      <c r="U19" s="120">
        <f>+'Eval Crtiteria Ranking'!C14</f>
        <v>51.89</v>
      </c>
      <c r="V19" s="26">
        <f>+'Eval Crtiteria Ranking'!D14</f>
        <v>11</v>
      </c>
      <c r="W19" s="91">
        <f t="shared" si="1"/>
        <v>-5</v>
      </c>
      <c r="X19" s="26"/>
      <c r="Z19" s="26">
        <f>+S20</f>
        <v>17</v>
      </c>
      <c r="AA19" s="3" t="str">
        <f>+T20</f>
        <v>Increase Amtrak Ridership</v>
      </c>
      <c r="AB19" s="131">
        <f>+W20</f>
        <v>-10</v>
      </c>
      <c r="AC19" s="94">
        <f t="shared" si="11"/>
        <v>17</v>
      </c>
      <c r="AD19" s="26">
        <f t="shared" si="18"/>
        <v>7</v>
      </c>
      <c r="AF19" s="26">
        <f>+'Co-Benefits Ranking'!A16</f>
        <v>16</v>
      </c>
      <c r="AG19" s="3" t="str">
        <f>+'Co-Benefits Ranking'!B16</f>
        <v>10% Micro-mobility by 2035</v>
      </c>
      <c r="AH19" s="120">
        <f>+'Co-Benefits Ranking'!C16</f>
        <v>20.51</v>
      </c>
      <c r="AI19" s="26">
        <f>+'Co-Benefits Ranking'!D16</f>
        <v>13</v>
      </c>
      <c r="AJ19" s="91">
        <f t="shared" si="12"/>
        <v>-7</v>
      </c>
      <c r="AK19" s="26"/>
      <c r="AM19" s="26">
        <f>+AF19</f>
        <v>16</v>
      </c>
      <c r="AN19" s="3" t="str">
        <f>+AG19</f>
        <v>10% Micro-mobility by 2035</v>
      </c>
      <c r="AO19" s="137">
        <f>+AJ19</f>
        <v>-7</v>
      </c>
      <c r="AP19" s="26">
        <f t="shared" si="13"/>
        <v>13</v>
      </c>
      <c r="AQ19" s="26">
        <f t="shared" si="14"/>
        <v>6</v>
      </c>
    </row>
    <row r="20" spans="1:43">
      <c r="A20" s="26">
        <f>+'C-E Ranking'!A10</f>
        <v>17</v>
      </c>
      <c r="B20" s="3" t="str">
        <f>+'C-E Ranking'!B10</f>
        <v>Increase Amtrak Ridership</v>
      </c>
      <c r="C20" s="141">
        <f>+'C-E Ranking'!C10</f>
        <v>-531.41356377551017</v>
      </c>
      <c r="D20" s="26">
        <f>+'C-E Ranking'!D10</f>
        <v>7</v>
      </c>
      <c r="F20" s="26">
        <f>+'GHG Reduction Ranking'!A13</f>
        <v>17</v>
      </c>
      <c r="G20" s="3" t="str">
        <f>+'GHG Reduction Ranking'!B13</f>
        <v>Increase Amtrak Ridership</v>
      </c>
      <c r="H20" s="26">
        <f>+'GHG Reduction Ranking'!C13</f>
        <v>5.4880000000000004</v>
      </c>
      <c r="I20" s="26">
        <f>+'GHG Reduction Ranking'!D13</f>
        <v>10</v>
      </c>
      <c r="J20" s="97">
        <f t="shared" si="0"/>
        <v>-3</v>
      </c>
      <c r="K20" s="26"/>
      <c r="M20" s="26">
        <f>+F23</f>
        <v>20</v>
      </c>
      <c r="N20" s="3" t="str">
        <f>+G23</f>
        <v>Water Systems EE 20% by 2035</v>
      </c>
      <c r="O20" s="131">
        <f>+J23</f>
        <v>-4</v>
      </c>
      <c r="P20" s="94">
        <f t="shared" si="10"/>
        <v>19</v>
      </c>
      <c r="Q20" s="26">
        <f t="shared" si="17"/>
        <v>15</v>
      </c>
      <c r="S20" s="26">
        <f>+'Eval Crtiteria Ranking'!A20</f>
        <v>17</v>
      </c>
      <c r="T20" s="3" t="str">
        <f>+'Eval Crtiteria Ranking'!B20</f>
        <v>Increase Amtrak Ridership</v>
      </c>
      <c r="U20" s="120">
        <f>+'Eval Crtiteria Ranking'!C20</f>
        <v>44.690000000000005</v>
      </c>
      <c r="V20" s="26">
        <f>+'Eval Crtiteria Ranking'!D20</f>
        <v>17</v>
      </c>
      <c r="W20" s="91">
        <f t="shared" si="1"/>
        <v>-10</v>
      </c>
      <c r="X20" s="26"/>
      <c r="Z20" s="26">
        <f>+S23</f>
        <v>20</v>
      </c>
      <c r="AA20" s="3" t="str">
        <f>+T23</f>
        <v>Water Systems EE 20% by 2035</v>
      </c>
      <c r="AB20" s="131">
        <f>+W23</f>
        <v>-9</v>
      </c>
      <c r="AC20" s="94">
        <f t="shared" si="11"/>
        <v>24</v>
      </c>
      <c r="AD20" s="26">
        <f t="shared" si="18"/>
        <v>15</v>
      </c>
      <c r="AF20" s="26">
        <f>+'Co-Benefits Ranking'!A21</f>
        <v>17</v>
      </c>
      <c r="AG20" s="3" t="str">
        <f>+'Co-Benefits Ranking'!B21</f>
        <v>Increase Amtrak Ridership</v>
      </c>
      <c r="AH20" s="120">
        <f>+'Co-Benefits Ranking'!C21</f>
        <v>12.170000000000002</v>
      </c>
      <c r="AI20" s="26">
        <f>+'Co-Benefits Ranking'!D21</f>
        <v>18</v>
      </c>
      <c r="AJ20" s="91">
        <f t="shared" si="12"/>
        <v>-11</v>
      </c>
      <c r="AK20" s="26"/>
      <c r="AM20" s="26">
        <f>+AF16</f>
        <v>13</v>
      </c>
      <c r="AN20" s="3" t="str">
        <f>+AG16</f>
        <v>Non-CPP Ind EE 50% by 2050</v>
      </c>
      <c r="AO20" s="137">
        <f>+AJ16</f>
        <v>-6</v>
      </c>
      <c r="AP20" s="26">
        <f t="shared" si="13"/>
        <v>16</v>
      </c>
      <c r="AQ20" s="26">
        <f t="shared" si="14"/>
        <v>10</v>
      </c>
    </row>
    <row r="21" spans="1:43">
      <c r="A21" s="26">
        <f>+'C-E Ranking'!A11</f>
        <v>18</v>
      </c>
      <c r="B21" s="3" t="str">
        <f>+'C-E Ranking'!B11</f>
        <v>Carshare Increases by 2035</v>
      </c>
      <c r="C21" s="141">
        <f>+'C-E Ranking'!C11</f>
        <v>-379.57311620977356</v>
      </c>
      <c r="D21" s="26">
        <f>+'C-E Ranking'!D11</f>
        <v>8</v>
      </c>
      <c r="F21" s="26">
        <f>+'GHG Reduction Ranking'!A14</f>
        <v>18</v>
      </c>
      <c r="G21" s="3" t="str">
        <f>+'GHG Reduction Ranking'!B14</f>
        <v>Carshare Increases by 2035</v>
      </c>
      <c r="H21" s="26">
        <f>+'GHG Reduction Ranking'!C14</f>
        <v>5.0339999999999998</v>
      </c>
      <c r="I21" s="26">
        <f>+'GHG Reduction Ranking'!D14</f>
        <v>11</v>
      </c>
      <c r="J21" s="97">
        <f t="shared" si="0"/>
        <v>-3</v>
      </c>
      <c r="K21" s="26"/>
      <c r="M21" s="26">
        <f>+F24</f>
        <v>21</v>
      </c>
      <c r="N21" s="3" t="str">
        <f>+G24</f>
        <v>Food Waste Program</v>
      </c>
      <c r="O21" s="131">
        <f>+J24</f>
        <v>-16</v>
      </c>
      <c r="P21" s="94">
        <f t="shared" si="10"/>
        <v>18</v>
      </c>
      <c r="Q21" s="26">
        <f t="shared" si="17"/>
        <v>2</v>
      </c>
      <c r="S21" s="26">
        <f>+'Eval Crtiteria Ranking'!A22</f>
        <v>18</v>
      </c>
      <c r="T21" s="3" t="str">
        <f>+'Eval Crtiteria Ranking'!B22</f>
        <v>Carshare Increases by 2035</v>
      </c>
      <c r="U21" s="120">
        <f>+'Eval Crtiteria Ranking'!C22</f>
        <v>43.67</v>
      </c>
      <c r="V21" s="26">
        <f>+'Eval Crtiteria Ranking'!D22</f>
        <v>19</v>
      </c>
      <c r="W21" s="91">
        <f t="shared" si="1"/>
        <v>-11</v>
      </c>
      <c r="X21" s="26"/>
      <c r="Z21" s="26">
        <f>+S24</f>
        <v>21</v>
      </c>
      <c r="AA21" s="3" t="str">
        <f>+T24</f>
        <v>Food Waste Program</v>
      </c>
      <c r="AB21" s="131">
        <f>+W24</f>
        <v>-7</v>
      </c>
      <c r="AC21" s="94">
        <f t="shared" si="11"/>
        <v>9</v>
      </c>
      <c r="AD21" s="26">
        <f t="shared" si="18"/>
        <v>2</v>
      </c>
      <c r="AF21" s="26">
        <f>+'Co-Benefits Ranking'!A27</f>
        <v>18</v>
      </c>
      <c r="AG21" s="3" t="str">
        <f>+'Co-Benefits Ranking'!B27</f>
        <v>Carshare Increases by 2035</v>
      </c>
      <c r="AH21" s="120">
        <f>+'Co-Benefits Ranking'!C27</f>
        <v>9.39</v>
      </c>
      <c r="AI21" s="26">
        <f>+'Co-Benefits Ranking'!D27</f>
        <v>24</v>
      </c>
      <c r="AJ21" s="91">
        <f t="shared" si="12"/>
        <v>-16</v>
      </c>
      <c r="AK21" s="26"/>
      <c r="AM21" s="26">
        <f>+AF24</f>
        <v>21</v>
      </c>
      <c r="AN21" s="3" t="str">
        <f>+AG24</f>
        <v>Food Waste Program</v>
      </c>
      <c r="AO21" s="137">
        <f>+AJ24</f>
        <v>-6</v>
      </c>
      <c r="AP21" s="26">
        <f t="shared" si="13"/>
        <v>8</v>
      </c>
      <c r="AQ21" s="26">
        <f t="shared" si="14"/>
        <v>2</v>
      </c>
    </row>
    <row r="22" spans="1:43">
      <c r="A22" s="26">
        <f>+'C-E Ranking'!A12</f>
        <v>19</v>
      </c>
      <c r="B22" s="3" t="str">
        <f>+'C-E Ranking'!B12</f>
        <v>Congestion Pricing</v>
      </c>
      <c r="C22" s="141">
        <f>+'C-E Ranking'!C12</f>
        <v>-303.2991490593343</v>
      </c>
      <c r="D22" s="26">
        <f>+'C-E Ranking'!D12</f>
        <v>9</v>
      </c>
      <c r="F22" s="26">
        <f>+'GHG Reduction Ranking'!A23</f>
        <v>19</v>
      </c>
      <c r="G22" s="3" t="str">
        <f>+'GHG Reduction Ranking'!B23</f>
        <v>Congestion Pricing</v>
      </c>
      <c r="H22" s="26">
        <f>+'GHG Reduction Ranking'!C23</f>
        <v>2.073</v>
      </c>
      <c r="I22" s="26">
        <f>+'GHG Reduction Ranking'!D23</f>
        <v>20</v>
      </c>
      <c r="J22" s="97">
        <f t="shared" si="0"/>
        <v>-11</v>
      </c>
      <c r="K22" s="26"/>
      <c r="S22" s="26">
        <f>+'Eval Crtiteria Ranking'!A17</f>
        <v>19</v>
      </c>
      <c r="T22" s="3" t="str">
        <f>+'Eval Crtiteria Ranking'!B17</f>
        <v>Congestion Pricing</v>
      </c>
      <c r="U22" s="120">
        <f>+'Eval Crtiteria Ranking'!C17</f>
        <v>47.93</v>
      </c>
      <c r="V22" s="26">
        <f>+'Eval Crtiteria Ranking'!D17</f>
        <v>14</v>
      </c>
      <c r="W22" s="91">
        <f t="shared" si="1"/>
        <v>-5</v>
      </c>
      <c r="X22" s="26"/>
      <c r="AF22" s="26">
        <f>+'Co-Benefits Ranking'!A15</f>
        <v>19</v>
      </c>
      <c r="AG22" s="3" t="str">
        <f>+'Co-Benefits Ranking'!B15</f>
        <v>Congestion Pricing</v>
      </c>
      <c r="AH22" s="120">
        <f>+'Co-Benefits Ranking'!C15</f>
        <v>21.21</v>
      </c>
      <c r="AI22" s="26">
        <f>+'Co-Benefits Ranking'!D15</f>
        <v>12</v>
      </c>
      <c r="AJ22" s="91">
        <f t="shared" si="12"/>
        <v>-3</v>
      </c>
      <c r="AK22" s="26"/>
    </row>
    <row r="23" spans="1:43">
      <c r="A23" s="26">
        <f>+'C-E Ranking'!A18</f>
        <v>20</v>
      </c>
      <c r="B23" s="3" t="str">
        <f>+'C-E Ranking'!B18</f>
        <v>Water Systems EE 20% by 2035</v>
      </c>
      <c r="C23" s="141">
        <f>+'C-E Ranking'!C18</f>
        <v>0.73046281714785655</v>
      </c>
      <c r="D23" s="26">
        <f>+'C-E Ranking'!D18</f>
        <v>15</v>
      </c>
      <c r="F23" s="26">
        <f>+'GHG Reduction Ranking'!A22</f>
        <v>20</v>
      </c>
      <c r="G23" s="3" t="str">
        <f>+'GHG Reduction Ranking'!B22</f>
        <v>Water Systems EE 20% by 2035</v>
      </c>
      <c r="H23" s="26">
        <f>+'GHG Reduction Ranking'!C22</f>
        <v>2.286</v>
      </c>
      <c r="I23" s="26">
        <f>+'GHG Reduction Ranking'!D22</f>
        <v>19</v>
      </c>
      <c r="J23" s="97">
        <f t="shared" si="0"/>
        <v>-4</v>
      </c>
      <c r="K23" s="26"/>
      <c r="S23" s="26">
        <f>+'Eval Crtiteria Ranking'!A27</f>
        <v>20</v>
      </c>
      <c r="T23" s="3" t="str">
        <f>+'Eval Crtiteria Ranking'!B27</f>
        <v>Water Systems EE 20% by 2035</v>
      </c>
      <c r="U23" s="120">
        <f>+'Eval Crtiteria Ranking'!C27</f>
        <v>36.339999999999996</v>
      </c>
      <c r="V23" s="26">
        <f>+'Eval Crtiteria Ranking'!D27</f>
        <v>24</v>
      </c>
      <c r="W23" s="91">
        <f t="shared" si="1"/>
        <v>-9</v>
      </c>
      <c r="X23" s="26"/>
      <c r="AB23"/>
      <c r="AC23"/>
      <c r="AD23"/>
      <c r="AF23" s="26">
        <f>+'Co-Benefits Ranking'!A23</f>
        <v>20</v>
      </c>
      <c r="AG23" s="3" t="str">
        <f>+'Co-Benefits Ranking'!B23</f>
        <v>Water Systems EE 20% by 2035</v>
      </c>
      <c r="AH23" s="120">
        <f>+'Co-Benefits Ranking'!C23</f>
        <v>10.860000000000001</v>
      </c>
      <c r="AI23" s="26">
        <f>+'Co-Benefits Ranking'!D23</f>
        <v>20</v>
      </c>
      <c r="AJ23" s="91">
        <f t="shared" si="12"/>
        <v>-5</v>
      </c>
      <c r="AK23" s="26"/>
    </row>
    <row r="24" spans="1:43">
      <c r="A24" s="26">
        <f>+'C-E Ranking'!A5</f>
        <v>21</v>
      </c>
      <c r="B24" s="3" t="str">
        <f>+'C-E Ranking'!B5</f>
        <v>Food Waste Program</v>
      </c>
      <c r="C24" s="141">
        <f>+'C-E Ranking'!C5</f>
        <v>-9393</v>
      </c>
      <c r="D24" s="26">
        <f>+'C-E Ranking'!D5</f>
        <v>2</v>
      </c>
      <c r="F24" s="26">
        <f>+'GHG Reduction Ranking'!A21</f>
        <v>21</v>
      </c>
      <c r="G24" s="3" t="str">
        <f>+'GHG Reduction Ranking'!B21</f>
        <v>Food Waste Program</v>
      </c>
      <c r="H24" s="26">
        <f>+'GHG Reduction Ranking'!C21</f>
        <v>2.5720000000000001</v>
      </c>
      <c r="I24" s="26">
        <f>+'GHG Reduction Ranking'!D21</f>
        <v>18</v>
      </c>
      <c r="J24" s="97">
        <f t="shared" si="0"/>
        <v>-16</v>
      </c>
      <c r="K24" s="26"/>
      <c r="S24" s="26">
        <f>+'Eval Crtiteria Ranking'!A12</f>
        <v>21</v>
      </c>
      <c r="T24" s="3" t="str">
        <f>+'Eval Crtiteria Ranking'!B12</f>
        <v>Food Waste Program</v>
      </c>
      <c r="U24" s="120">
        <f>+'Eval Crtiteria Ranking'!C12</f>
        <v>56.550000000000004</v>
      </c>
      <c r="V24" s="26">
        <f>+'Eval Crtiteria Ranking'!D12</f>
        <v>9</v>
      </c>
      <c r="W24" s="91">
        <f t="shared" si="1"/>
        <v>-7</v>
      </c>
      <c r="X24" s="26"/>
      <c r="AB24"/>
      <c r="AC24"/>
      <c r="AD24"/>
      <c r="AF24" s="26">
        <f>+'Co-Benefits Ranking'!A11</f>
        <v>21</v>
      </c>
      <c r="AG24" s="3" t="str">
        <f>+'Co-Benefits Ranking'!B11</f>
        <v>Food Waste Program</v>
      </c>
      <c r="AH24" s="120">
        <f>+'Co-Benefits Ranking'!C11</f>
        <v>23.31</v>
      </c>
      <c r="AI24" s="26">
        <f>+'Co-Benefits Ranking'!D11</f>
        <v>8</v>
      </c>
      <c r="AJ24" s="91">
        <f t="shared" si="12"/>
        <v>-6</v>
      </c>
      <c r="AK24" s="26"/>
    </row>
    <row r="25" spans="1:43">
      <c r="A25" s="26">
        <f>+'C-E Ranking'!A19</f>
        <v>22</v>
      </c>
      <c r="B25" s="3" t="str">
        <f>+'C-E Ranking'!B19</f>
        <v>Ind RH2 70% by 2050</v>
      </c>
      <c r="C25" s="141">
        <f>+'C-E Ranking'!C19</f>
        <v>10.548478343847744</v>
      </c>
      <c r="D25" s="26">
        <f>+'C-E Ranking'!D19</f>
        <v>16</v>
      </c>
      <c r="F25" s="26">
        <f>+'GHG Reduction Ranking'!A7</f>
        <v>22</v>
      </c>
      <c r="G25" s="3" t="str">
        <f>+'GHG Reduction Ranking'!B7</f>
        <v>Ind RH2 70% by 2050</v>
      </c>
      <c r="H25" s="26">
        <f>+'GHG Reduction Ranking'!C7</f>
        <v>18.863</v>
      </c>
      <c r="I25" s="26">
        <f>+'GHG Reduction Ranking'!D7</f>
        <v>4</v>
      </c>
      <c r="J25" s="97">
        <f t="shared" si="0"/>
        <v>12</v>
      </c>
      <c r="K25" s="26"/>
      <c r="S25" s="26">
        <f>+'Eval Crtiteria Ranking'!A11</f>
        <v>22</v>
      </c>
      <c r="T25" s="3" t="str">
        <f>+'Eval Crtiteria Ranking'!B11</f>
        <v>Ind RH2 70% by 2050</v>
      </c>
      <c r="U25" s="120">
        <f>+'Eval Crtiteria Ranking'!C11</f>
        <v>57.8</v>
      </c>
      <c r="V25" s="26">
        <f>+'Eval Crtiteria Ranking'!D11</f>
        <v>4</v>
      </c>
      <c r="W25" s="91">
        <f t="shared" si="1"/>
        <v>12</v>
      </c>
      <c r="X25" s="26"/>
      <c r="AF25" s="26">
        <f>+'Co-Benefits Ranking'!A20</f>
        <v>22</v>
      </c>
      <c r="AG25" s="3" t="str">
        <f>+'Co-Benefits Ranking'!B20</f>
        <v>Ind RH2 70% by 2050</v>
      </c>
      <c r="AH25" s="120">
        <f>+'Co-Benefits Ranking'!C20</f>
        <v>12.9</v>
      </c>
      <c r="AI25" s="26">
        <f>+'Co-Benefits Ranking'!D20</f>
        <v>17</v>
      </c>
      <c r="AJ25" s="91">
        <f t="shared" si="12"/>
        <v>-1</v>
      </c>
      <c r="AK25" s="26"/>
    </row>
    <row r="26" spans="1:43">
      <c r="A26" s="26">
        <f>+'C-E Ranking'!A21</f>
        <v>23</v>
      </c>
      <c r="B26" s="3" t="str">
        <f>+'C-E Ranking'!B21</f>
        <v>RNG Full Potential by 2050</v>
      </c>
      <c r="C26" s="141">
        <f>+'C-E Ranking'!C21</f>
        <v>71.996275544944069</v>
      </c>
      <c r="D26" s="26">
        <f>+'C-E Ranking'!D21</f>
        <v>18</v>
      </c>
      <c r="F26" s="26">
        <f>+'GHG Reduction Ranking'!A4</f>
        <v>23</v>
      </c>
      <c r="G26" s="3" t="str">
        <f>+'GHG Reduction Ranking'!B4</f>
        <v>RNG Full Potential by 2050</v>
      </c>
      <c r="H26" s="26">
        <f>+'GHG Reduction Ranking'!C4</f>
        <v>22.617000000000001</v>
      </c>
      <c r="I26" s="26">
        <f>+'GHG Reduction Ranking'!D4</f>
        <v>1</v>
      </c>
      <c r="J26" s="97">
        <f t="shared" si="0"/>
        <v>17</v>
      </c>
      <c r="K26" s="26"/>
      <c r="S26" s="26">
        <f>+'Eval Crtiteria Ranking'!A10</f>
        <v>23</v>
      </c>
      <c r="T26" s="3" t="str">
        <f>+'Eval Crtiteria Ranking'!B10</f>
        <v>RNG Full Potential by 2050</v>
      </c>
      <c r="U26" s="120">
        <f>+'Eval Crtiteria Ranking'!C10</f>
        <v>59.489999999999995</v>
      </c>
      <c r="V26" s="26">
        <f>+'Eval Crtiteria Ranking'!D10</f>
        <v>6</v>
      </c>
      <c r="W26" s="91">
        <f t="shared" si="1"/>
        <v>12</v>
      </c>
      <c r="X26" s="26"/>
      <c r="AF26" s="26">
        <f>+'Co-Benefits Ranking'!A24</f>
        <v>23</v>
      </c>
      <c r="AG26" s="3" t="str">
        <f>+'Co-Benefits Ranking'!B24</f>
        <v>RNG Full Potential by 2050</v>
      </c>
      <c r="AH26" s="120">
        <f>+'Co-Benefits Ranking'!C24</f>
        <v>10.810000000000002</v>
      </c>
      <c r="AI26" s="26">
        <f>+'Co-Benefits Ranking'!D24</f>
        <v>21</v>
      </c>
      <c r="AJ26" s="91">
        <f t="shared" si="12"/>
        <v>-3</v>
      </c>
      <c r="AK26" s="26"/>
      <c r="AO26"/>
      <c r="AQ26"/>
    </row>
    <row r="27" spans="1:43">
      <c r="A27" s="26">
        <f>+'C-E Ranking'!A20</f>
        <v>24</v>
      </c>
      <c r="B27" s="3" t="str">
        <f>+'C-E Ranking'!B20</f>
        <v>RH2 Injection 15% by 2035</v>
      </c>
      <c r="C27" s="141">
        <f>+'C-E Ranking'!C20</f>
        <v>67.37539760461334</v>
      </c>
      <c r="D27" s="26">
        <f>+'C-E Ranking'!D20</f>
        <v>17</v>
      </c>
      <c r="F27" s="26">
        <f>+'GHG Reduction Ranking'!A12</f>
        <v>24</v>
      </c>
      <c r="G27" s="3" t="str">
        <f>+'GHG Reduction Ranking'!B12</f>
        <v>RH2 Injection 15% by 2035</v>
      </c>
      <c r="H27" s="26">
        <f>+'GHG Reduction Ranking'!C12</f>
        <v>6.7629999999999999</v>
      </c>
      <c r="I27" s="26">
        <f>+'GHG Reduction Ranking'!D12</f>
        <v>9</v>
      </c>
      <c r="J27" s="97">
        <f t="shared" si="0"/>
        <v>8</v>
      </c>
      <c r="K27" s="26"/>
      <c r="S27" s="26">
        <f>+'Eval Crtiteria Ranking'!A24</f>
        <v>24</v>
      </c>
      <c r="T27" s="3" t="str">
        <f>+'Eval Crtiteria Ranking'!B24</f>
        <v>RH2 Injection 15% by 2035</v>
      </c>
      <c r="U27" s="120">
        <f>+'Eval Crtiteria Ranking'!C24</f>
        <v>41.28</v>
      </c>
      <c r="V27" s="26">
        <f>+'Eval Crtiteria Ranking'!D24</f>
        <v>20</v>
      </c>
      <c r="W27" s="91">
        <f t="shared" si="1"/>
        <v>-3</v>
      </c>
      <c r="X27" s="26"/>
      <c r="AF27" s="26">
        <f>+'Co-Benefits Ranking'!A22</f>
        <v>24</v>
      </c>
      <c r="AG27" s="3" t="str">
        <f>+'Co-Benefits Ranking'!B22</f>
        <v>RH2 Injection 15% by 2035</v>
      </c>
      <c r="AH27" s="120">
        <f>+'Co-Benefits Ranking'!C22</f>
        <v>11.500000000000002</v>
      </c>
      <c r="AI27" s="26">
        <f>+'Co-Benefits Ranking'!D22</f>
        <v>19</v>
      </c>
      <c r="AJ27" s="91">
        <f t="shared" si="12"/>
        <v>-2</v>
      </c>
      <c r="AK27" s="26"/>
      <c r="AO27"/>
      <c r="AQ27"/>
    </row>
    <row r="28" spans="1:43">
      <c r="A28" s="26">
        <f>+'C-E Ranking'!A17</f>
        <v>25</v>
      </c>
      <c r="B28" s="3" t="str">
        <f>+'C-E Ranking'!B17</f>
        <v>Home Fuel Cells 5% by 2030</v>
      </c>
      <c r="C28" s="141">
        <f>+'C-E Ranking'!C17</f>
        <v>-20.508572308594896</v>
      </c>
      <c r="D28" s="26">
        <f>+'C-E Ranking'!D17</f>
        <v>14</v>
      </c>
      <c r="F28" s="26">
        <f>+'GHG Reduction Ranking'!A18</f>
        <v>25</v>
      </c>
      <c r="G28" s="3" t="str">
        <f>+'GHG Reduction Ranking'!B18</f>
        <v>Home Fuel Cells 5% by 2030</v>
      </c>
      <c r="H28" s="26">
        <f>+'GHG Reduction Ranking'!C18</f>
        <v>3.4089999999999998</v>
      </c>
      <c r="I28" s="26">
        <f>+'GHG Reduction Ranking'!D18</f>
        <v>15</v>
      </c>
      <c r="J28" s="97">
        <f t="shared" si="0"/>
        <v>-1</v>
      </c>
      <c r="K28" s="26"/>
      <c r="S28" s="26">
        <f>+'Eval Crtiteria Ranking'!A21</f>
        <v>25</v>
      </c>
      <c r="T28" s="3" t="str">
        <f>+'Eval Crtiteria Ranking'!B21</f>
        <v>Home Fuel Cells 5% by 2030</v>
      </c>
      <c r="U28" s="120">
        <f>+'Eval Crtiteria Ranking'!C21</f>
        <v>44.660000000000004</v>
      </c>
      <c r="V28" s="26">
        <f>+'Eval Crtiteria Ranking'!D21</f>
        <v>18</v>
      </c>
      <c r="W28" s="91">
        <f t="shared" si="1"/>
        <v>-4</v>
      </c>
      <c r="X28" s="26"/>
      <c r="AF28" s="26">
        <f>+'Co-Benefits Ranking'!A17</f>
        <v>25</v>
      </c>
      <c r="AG28" s="3" t="str">
        <f>+'Co-Benefits Ranking'!B17</f>
        <v>Home Fuel Cells 5% by 2030</v>
      </c>
      <c r="AH28" s="120">
        <f>+'Co-Benefits Ranking'!C17</f>
        <v>19.18</v>
      </c>
      <c r="AI28" s="26">
        <f>+'Co-Benefits Ranking'!D17</f>
        <v>14</v>
      </c>
      <c r="AJ28" s="91">
        <f t="shared" si="12"/>
        <v>0</v>
      </c>
      <c r="AK28" s="26"/>
      <c r="AO28"/>
      <c r="AQ28"/>
    </row>
    <row r="29" spans="1:43">
      <c r="G29" s="85"/>
      <c r="H29" s="124" t="s">
        <v>218</v>
      </c>
      <c r="I29" s="122" t="s">
        <v>215</v>
      </c>
      <c r="J29" s="123" t="s">
        <v>214</v>
      </c>
      <c r="K29" s="125" t="s">
        <v>219</v>
      </c>
      <c r="T29" s="85"/>
      <c r="U29" s="124" t="s">
        <v>218</v>
      </c>
      <c r="V29" s="122" t="s">
        <v>215</v>
      </c>
      <c r="W29" s="123" t="s">
        <v>214</v>
      </c>
      <c r="X29" s="125" t="s">
        <v>219</v>
      </c>
      <c r="AG29" s="85"/>
      <c r="AH29" s="124" t="s">
        <v>218</v>
      </c>
      <c r="AI29" s="122" t="s">
        <v>215</v>
      </c>
      <c r="AJ29" s="123" t="s">
        <v>214</v>
      </c>
      <c r="AK29" s="125" t="s">
        <v>219</v>
      </c>
      <c r="AO29"/>
      <c r="AQ29"/>
    </row>
    <row r="30" spans="1:43">
      <c r="K30" s="140" t="s">
        <v>255</v>
      </c>
      <c r="X30" s="140" t="s">
        <v>255</v>
      </c>
      <c r="AK30" s="140" t="s">
        <v>255</v>
      </c>
      <c r="AO30"/>
      <c r="AQ30"/>
    </row>
    <row r="31" spans="1:43">
      <c r="AO31"/>
      <c r="AQ31"/>
    </row>
  </sheetData>
  <sortState xmlns:xlrd2="http://schemas.microsoft.com/office/spreadsheetml/2017/richdata2" ref="AF4:AK28">
    <sortCondition ref="AF4:AF28"/>
  </sortState>
  <mergeCells count="4">
    <mergeCell ref="Z13:AC13"/>
    <mergeCell ref="Z2:AC2"/>
    <mergeCell ref="M2:P2"/>
    <mergeCell ref="M13:P13"/>
  </mergeCells>
  <conditionalFormatting sqref="J4:J28">
    <cfRule type="colorScale" priority="21">
      <colorScale>
        <cfvo type="min"/>
        <cfvo type="percentile" val="50"/>
        <cfvo type="max"/>
        <color rgb="FFF8696B"/>
        <color rgb="FFFFEB84"/>
        <color rgb="FF63BE7B"/>
      </colorScale>
    </cfRule>
  </conditionalFormatting>
  <conditionalFormatting sqref="W4:W28">
    <cfRule type="colorScale" priority="22">
      <colorScale>
        <cfvo type="min"/>
        <cfvo type="percentile" val="50"/>
        <cfvo type="max"/>
        <color rgb="FFF8696B"/>
        <color rgb="FFFFEB84"/>
        <color rgb="FF63BE7B"/>
      </colorScale>
    </cfRule>
  </conditionalFormatting>
  <conditionalFormatting sqref="AJ4:AJ28">
    <cfRule type="colorScale" priority="24">
      <colorScale>
        <cfvo type="min"/>
        <cfvo type="percentile" val="50"/>
        <cfvo type="max"/>
        <color rgb="FFF8696B"/>
        <color rgb="FFFFEB84"/>
        <color rgb="FF63BE7B"/>
      </colorScale>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F0F0A-2557-4277-97FC-88D825B81B8C}">
  <sheetPr>
    <tabColor rgb="FFCC99FF"/>
  </sheetPr>
  <dimension ref="A1:L57"/>
  <sheetViews>
    <sheetView zoomScaleNormal="100" workbookViewId="0"/>
  </sheetViews>
  <sheetFormatPr defaultRowHeight="15"/>
  <cols>
    <col min="1" max="1" width="4.7109375" style="48" customWidth="1"/>
    <col min="2" max="2" width="20.7109375" customWidth="1"/>
    <col min="3" max="3" width="22.85546875" customWidth="1"/>
    <col min="4" max="4" width="13.85546875" customWidth="1"/>
    <col min="7" max="7" width="8.85546875" style="48" customWidth="1"/>
    <col min="8" max="8" width="10.140625" style="71" customWidth="1"/>
    <col min="9" max="9" width="14.140625" style="13" customWidth="1"/>
    <col min="10" max="10" width="15.140625" customWidth="1"/>
    <col min="11" max="11" width="13.140625" style="13" customWidth="1"/>
    <col min="12" max="12" width="13.85546875" style="69" customWidth="1"/>
  </cols>
  <sheetData>
    <row r="1" spans="2:10" ht="21">
      <c r="B1" s="24" t="s">
        <v>1</v>
      </c>
      <c r="H1" s="151"/>
      <c r="I1" s="70"/>
      <c r="J1" s="57"/>
    </row>
    <row r="2" spans="2:10">
      <c r="B2" t="s">
        <v>111</v>
      </c>
      <c r="C2">
        <f>+'Eval Crit List'!A8</f>
        <v>29</v>
      </c>
      <c r="F2" s="13"/>
      <c r="G2" s="71"/>
      <c r="H2" s="151"/>
      <c r="I2" s="70"/>
      <c r="J2" s="57"/>
    </row>
    <row r="3" spans="2:10">
      <c r="B3" t="s">
        <v>131</v>
      </c>
      <c r="C3" s="67">
        <f>MIN(D20:D48)</f>
        <v>588000</v>
      </c>
      <c r="F3" s="13"/>
      <c r="G3" s="71"/>
      <c r="H3" s="151"/>
      <c r="I3" s="70"/>
      <c r="J3" s="57"/>
    </row>
    <row r="4" spans="2:10">
      <c r="B4" t="s">
        <v>132</v>
      </c>
      <c r="C4" s="67">
        <f>MAX(D20:D48)</f>
        <v>22617000</v>
      </c>
      <c r="F4" s="13"/>
      <c r="G4" s="71"/>
      <c r="H4" s="151"/>
      <c r="I4" s="70"/>
      <c r="J4" s="57"/>
    </row>
    <row r="5" spans="2:10">
      <c r="B5" s="101" t="s">
        <v>105</v>
      </c>
      <c r="C5" s="67"/>
      <c r="F5" s="13"/>
      <c r="G5" s="71"/>
      <c r="H5" s="151"/>
      <c r="I5" s="70"/>
      <c r="J5" s="57"/>
    </row>
    <row r="6" spans="2:10">
      <c r="B6" s="178" t="s">
        <v>1</v>
      </c>
      <c r="C6" s="179"/>
      <c r="D6" s="180"/>
    </row>
    <row r="7" spans="2:10">
      <c r="B7" s="75" t="s">
        <v>129</v>
      </c>
      <c r="C7" s="75" t="s">
        <v>130</v>
      </c>
      <c r="D7" s="75" t="s">
        <v>55</v>
      </c>
    </row>
    <row r="8" spans="2:10">
      <c r="B8" s="76">
        <v>0</v>
      </c>
      <c r="C8" s="76">
        <f>+J29</f>
        <v>1500000</v>
      </c>
      <c r="D8" s="77">
        <v>1</v>
      </c>
      <c r="E8" s="20"/>
      <c r="F8" s="16"/>
    </row>
    <row r="9" spans="2:10">
      <c r="B9" s="76">
        <f t="shared" ref="B9:B17" si="0">+C8+1</f>
        <v>1500001</v>
      </c>
      <c r="C9" s="76">
        <f>+J28</f>
        <v>2500000</v>
      </c>
      <c r="D9" s="77">
        <v>2</v>
      </c>
      <c r="E9" s="20"/>
      <c r="F9" s="16"/>
    </row>
    <row r="10" spans="2:10">
      <c r="B10" s="76">
        <f t="shared" si="0"/>
        <v>2500001</v>
      </c>
      <c r="C10" s="76">
        <f>+J27</f>
        <v>4000000</v>
      </c>
      <c r="D10" s="77">
        <v>3</v>
      </c>
      <c r="E10" s="20"/>
      <c r="F10" s="16"/>
    </row>
    <row r="11" spans="2:10">
      <c r="B11" s="76">
        <f t="shared" si="0"/>
        <v>4000001</v>
      </c>
      <c r="C11" s="76">
        <f>+J26</f>
        <v>6000000</v>
      </c>
      <c r="D11" s="77">
        <v>4</v>
      </c>
      <c r="E11" s="20"/>
      <c r="F11" s="16"/>
    </row>
    <row r="12" spans="2:10">
      <c r="B12" s="76">
        <f t="shared" si="0"/>
        <v>6000001</v>
      </c>
      <c r="C12" s="76">
        <f>+J25</f>
        <v>10000000</v>
      </c>
      <c r="D12" s="77">
        <v>5</v>
      </c>
      <c r="E12" s="20"/>
      <c r="F12" s="16"/>
    </row>
    <row r="13" spans="2:10">
      <c r="B13" s="76">
        <f t="shared" si="0"/>
        <v>10000001</v>
      </c>
      <c r="C13" s="76">
        <f>+J24</f>
        <v>14000000</v>
      </c>
      <c r="D13" s="77">
        <v>6</v>
      </c>
      <c r="E13" s="20"/>
      <c r="F13" s="16"/>
    </row>
    <row r="14" spans="2:10">
      <c r="B14" s="76">
        <f t="shared" si="0"/>
        <v>14000001</v>
      </c>
      <c r="C14" s="76">
        <f>+J23</f>
        <v>15000000</v>
      </c>
      <c r="D14" s="77">
        <v>7</v>
      </c>
      <c r="E14" s="20"/>
      <c r="F14" s="16"/>
    </row>
    <row r="15" spans="2:10">
      <c r="B15" s="76">
        <f t="shared" si="0"/>
        <v>15000001</v>
      </c>
      <c r="C15" s="76">
        <f>+J22</f>
        <v>18000000</v>
      </c>
      <c r="D15" s="77">
        <v>8</v>
      </c>
      <c r="E15" s="20"/>
      <c r="F15" s="16"/>
    </row>
    <row r="16" spans="2:10">
      <c r="B16" s="76">
        <f t="shared" si="0"/>
        <v>18000001</v>
      </c>
      <c r="C16" s="76">
        <f>+J21</f>
        <v>20000000</v>
      </c>
      <c r="D16" s="77">
        <v>9</v>
      </c>
      <c r="E16" s="20"/>
      <c r="F16" s="16"/>
    </row>
    <row r="17" spans="1:12">
      <c r="B17" s="76">
        <f t="shared" si="0"/>
        <v>20000001</v>
      </c>
      <c r="C17" s="76">
        <f>+J20</f>
        <v>22600000</v>
      </c>
      <c r="D17" s="77">
        <v>10</v>
      </c>
      <c r="E17" s="20"/>
    </row>
    <row r="19" spans="1:12" ht="45">
      <c r="A19" s="68" t="s">
        <v>61</v>
      </c>
      <c r="B19" s="181" t="s">
        <v>112</v>
      </c>
      <c r="C19" s="182"/>
      <c r="D19" s="58" t="s">
        <v>117</v>
      </c>
      <c r="E19" s="109" t="s">
        <v>208</v>
      </c>
      <c r="F19" s="109" t="s">
        <v>209</v>
      </c>
      <c r="G19" s="72" t="s">
        <v>136</v>
      </c>
      <c r="H19" s="91" t="s">
        <v>135</v>
      </c>
      <c r="I19" s="183" t="s">
        <v>134</v>
      </c>
      <c r="J19" s="184"/>
      <c r="K19" s="183" t="s">
        <v>133</v>
      </c>
      <c r="L19" s="184"/>
    </row>
    <row r="20" spans="1:12">
      <c r="A20" s="26">
        <f>+Data!A26</f>
        <v>23</v>
      </c>
      <c r="B20" s="3" t="str">
        <f>+Data!B26</f>
        <v>RNG Full Potential by 2050</v>
      </c>
      <c r="C20" s="3"/>
      <c r="D20" s="63">
        <f>+Data!J26</f>
        <v>22617000</v>
      </c>
      <c r="E20" s="23">
        <f t="shared" ref="E20:E44" si="1">+D20/$D$20</f>
        <v>1</v>
      </c>
      <c r="F20" s="74">
        <f t="shared" ref="F20:F44" si="2">+$D$20/D20</f>
        <v>1</v>
      </c>
      <c r="G20" s="73">
        <f t="shared" ref="G20:G44" si="3">VLOOKUP(D20,$B$8:$D$17,3,TRUE)</f>
        <v>10</v>
      </c>
      <c r="H20" s="26">
        <v>10</v>
      </c>
      <c r="I20" s="81">
        <v>10</v>
      </c>
      <c r="J20" s="14">
        <v>22600000</v>
      </c>
      <c r="K20" s="74">
        <v>1</v>
      </c>
      <c r="L20" s="14">
        <v>22600000</v>
      </c>
    </row>
    <row r="21" spans="1:12">
      <c r="A21" s="26">
        <f>+Data!A11</f>
        <v>8</v>
      </c>
      <c r="B21" s="3" t="str">
        <f>+Data!B11</f>
        <v>Wz in Existing Com by 2040</v>
      </c>
      <c r="C21" s="3"/>
      <c r="D21" s="63">
        <f>+Data!J11</f>
        <v>21128000</v>
      </c>
      <c r="E21" s="23">
        <f t="shared" si="1"/>
        <v>0.93416456647654422</v>
      </c>
      <c r="F21" s="74">
        <f t="shared" si="2"/>
        <v>1.0704751987883379</v>
      </c>
      <c r="G21" s="73">
        <f t="shared" si="3"/>
        <v>10</v>
      </c>
      <c r="H21" s="26"/>
      <c r="I21" s="81">
        <v>9</v>
      </c>
      <c r="J21" s="14">
        <v>20000000</v>
      </c>
      <c r="K21" s="3">
        <v>0.9</v>
      </c>
      <c r="L21" s="14">
        <f t="shared" ref="L21:L29" si="4">+K21*$L$20</f>
        <v>20340000</v>
      </c>
    </row>
    <row r="22" spans="1:12">
      <c r="A22" s="26">
        <f>+Data!A10</f>
        <v>7</v>
      </c>
      <c r="B22" s="3" t="str">
        <f>+Data!B10</f>
        <v>Wz in Existing Res by 2040</v>
      </c>
      <c r="C22" s="3"/>
      <c r="D22" s="63">
        <f>+Data!J10</f>
        <v>19578000</v>
      </c>
      <c r="E22" s="23">
        <f t="shared" si="1"/>
        <v>0.8656320466905425</v>
      </c>
      <c r="F22" s="74">
        <f t="shared" si="2"/>
        <v>1.1552252528348146</v>
      </c>
      <c r="G22" s="73">
        <f t="shared" si="3"/>
        <v>9</v>
      </c>
      <c r="H22" s="26">
        <v>9</v>
      </c>
      <c r="I22" s="81">
        <v>8</v>
      </c>
      <c r="J22" s="14">
        <v>18000000</v>
      </c>
      <c r="K22" s="3">
        <v>0.8</v>
      </c>
      <c r="L22" s="14">
        <f t="shared" si="4"/>
        <v>18080000</v>
      </c>
    </row>
    <row r="23" spans="1:12">
      <c r="A23" s="26">
        <f>+Data!A25</f>
        <v>22</v>
      </c>
      <c r="B23" s="3" t="str">
        <f>+Data!B25</f>
        <v>Ind RH2 70% by 2050</v>
      </c>
      <c r="C23" s="3"/>
      <c r="D23" s="63">
        <f>+Data!J25</f>
        <v>18863000</v>
      </c>
      <c r="E23" s="23">
        <f t="shared" si="1"/>
        <v>0.83401865853119339</v>
      </c>
      <c r="F23" s="74">
        <f t="shared" si="2"/>
        <v>1.1990139426390287</v>
      </c>
      <c r="G23" s="73">
        <f t="shared" si="3"/>
        <v>9</v>
      </c>
      <c r="H23" s="26"/>
      <c r="I23" s="81">
        <v>7</v>
      </c>
      <c r="J23" s="14">
        <v>15000000</v>
      </c>
      <c r="K23" s="3">
        <v>0.7</v>
      </c>
      <c r="L23" s="14">
        <f t="shared" si="4"/>
        <v>15819999.999999998</v>
      </c>
    </row>
    <row r="24" spans="1:12">
      <c r="A24" s="26">
        <f>+Data!A16</f>
        <v>13</v>
      </c>
      <c r="B24" s="3" t="str">
        <f>+Data!B16</f>
        <v>Non-CPP Ind EE 50% by 2050</v>
      </c>
      <c r="C24" s="3"/>
      <c r="D24" s="63">
        <f>+Data!J16</f>
        <v>13621000</v>
      </c>
      <c r="E24" s="23">
        <f t="shared" si="1"/>
        <v>0.60224609806782514</v>
      </c>
      <c r="F24" s="74">
        <f t="shared" si="2"/>
        <v>1.6604507745393142</v>
      </c>
      <c r="G24" s="73">
        <f t="shared" si="3"/>
        <v>6</v>
      </c>
      <c r="H24" s="26">
        <v>6</v>
      </c>
      <c r="I24" s="81">
        <v>6</v>
      </c>
      <c r="J24" s="14">
        <v>14000000</v>
      </c>
      <c r="K24" s="3">
        <v>0.6</v>
      </c>
      <c r="L24" s="14">
        <f t="shared" si="4"/>
        <v>13560000</v>
      </c>
    </row>
    <row r="25" spans="1:12">
      <c r="A25" s="26">
        <f>+Data!A17</f>
        <v>14</v>
      </c>
      <c r="B25" s="3" t="str">
        <f>+Data!B17</f>
        <v>MD/HD Zero Emission Plan</v>
      </c>
      <c r="C25" s="3"/>
      <c r="D25" s="63">
        <f>+Data!J17</f>
        <v>12337000</v>
      </c>
      <c r="E25" s="23">
        <f t="shared" si="1"/>
        <v>0.54547464296767922</v>
      </c>
      <c r="F25" s="74">
        <f t="shared" si="2"/>
        <v>1.8332657858474508</v>
      </c>
      <c r="G25" s="73">
        <f t="shared" si="3"/>
        <v>6</v>
      </c>
      <c r="H25" s="91"/>
      <c r="I25" s="81">
        <v>5</v>
      </c>
      <c r="J25" s="14">
        <v>10000000</v>
      </c>
      <c r="K25" s="3">
        <v>0.5</v>
      </c>
      <c r="L25" s="14">
        <f t="shared" si="4"/>
        <v>11300000</v>
      </c>
    </row>
    <row r="26" spans="1:12">
      <c r="A26" s="26">
        <f>+Data!A7</f>
        <v>4</v>
      </c>
      <c r="B26" s="3" t="str">
        <f>+Data!B7</f>
        <v>Com Code Reduction 60% by 2030</v>
      </c>
      <c r="C26" s="3"/>
      <c r="D26" s="63">
        <f>+Data!J7</f>
        <v>11751000</v>
      </c>
      <c r="E26" s="23">
        <f t="shared" si="1"/>
        <v>0.51956492903568108</v>
      </c>
      <c r="F26" s="74">
        <f t="shared" si="2"/>
        <v>1.9246872606586674</v>
      </c>
      <c r="G26" s="73">
        <f t="shared" si="3"/>
        <v>6</v>
      </c>
      <c r="H26" s="26"/>
      <c r="I26" s="81">
        <v>4</v>
      </c>
      <c r="J26" s="14">
        <v>6000000</v>
      </c>
      <c r="K26" s="3">
        <v>0.4</v>
      </c>
      <c r="L26" s="14">
        <f t="shared" si="4"/>
        <v>9040000</v>
      </c>
    </row>
    <row r="27" spans="1:12">
      <c r="A27" s="26">
        <f>+Data!A6</f>
        <v>3</v>
      </c>
      <c r="B27" s="3" t="str">
        <f>+Data!B6</f>
        <v>Res Code Reduction 60% by 2030</v>
      </c>
      <c r="C27" s="3"/>
      <c r="D27" s="63">
        <f>+Data!J6</f>
        <v>8044000</v>
      </c>
      <c r="E27" s="23">
        <f t="shared" si="1"/>
        <v>0.3556616704249016</v>
      </c>
      <c r="F27" s="74">
        <f t="shared" si="2"/>
        <v>2.8116608652411736</v>
      </c>
      <c r="G27" s="73">
        <f t="shared" si="3"/>
        <v>5</v>
      </c>
      <c r="H27" s="26">
        <v>5</v>
      </c>
      <c r="I27" s="81">
        <v>3</v>
      </c>
      <c r="J27" s="14">
        <v>4000000</v>
      </c>
      <c r="K27" s="3">
        <v>0.3</v>
      </c>
      <c r="L27" s="14">
        <f t="shared" si="4"/>
        <v>6780000</v>
      </c>
    </row>
    <row r="28" spans="1:12">
      <c r="A28" s="26">
        <f>+Data!A27</f>
        <v>24</v>
      </c>
      <c r="B28" s="3" t="str">
        <f>+Data!B27</f>
        <v>RH2 Injection 15% by 2035</v>
      </c>
      <c r="C28" s="3"/>
      <c r="D28" s="63">
        <f>+Data!J27</f>
        <v>6763000</v>
      </c>
      <c r="E28" s="23">
        <f t="shared" si="1"/>
        <v>0.29902285891143832</v>
      </c>
      <c r="F28" s="74">
        <f t="shared" si="2"/>
        <v>3.3442259352358419</v>
      </c>
      <c r="G28" s="73">
        <f t="shared" si="3"/>
        <v>5</v>
      </c>
      <c r="H28" s="91"/>
      <c r="I28" s="81">
        <v>2</v>
      </c>
      <c r="J28" s="14">
        <v>2500000</v>
      </c>
      <c r="K28" s="3">
        <v>0.2</v>
      </c>
      <c r="L28" s="14">
        <f t="shared" si="4"/>
        <v>4520000</v>
      </c>
    </row>
    <row r="29" spans="1:12">
      <c r="A29" s="26">
        <f>+Data!A20</f>
        <v>17</v>
      </c>
      <c r="B29" s="3" t="str">
        <f>+Data!B20</f>
        <v>Increase Amtrak Ridership</v>
      </c>
      <c r="C29" s="3"/>
      <c r="D29" s="63">
        <f>+Data!J20</f>
        <v>5488000</v>
      </c>
      <c r="E29" s="23">
        <f t="shared" si="1"/>
        <v>0.24264933457134014</v>
      </c>
      <c r="F29" s="74">
        <f t="shared" si="2"/>
        <v>4.1211734693877551</v>
      </c>
      <c r="G29" s="73">
        <f t="shared" si="3"/>
        <v>4</v>
      </c>
      <c r="H29" s="26">
        <v>4</v>
      </c>
      <c r="I29" s="81">
        <v>1</v>
      </c>
      <c r="J29" s="14">
        <v>1500000</v>
      </c>
      <c r="K29" s="3">
        <v>0.1</v>
      </c>
      <c r="L29" s="14">
        <f t="shared" si="4"/>
        <v>2260000</v>
      </c>
    </row>
    <row r="30" spans="1:12">
      <c r="A30" s="26">
        <f>+Data!A21</f>
        <v>18</v>
      </c>
      <c r="B30" s="3" t="str">
        <f>+Data!B21</f>
        <v>Carshare Increases by 2035</v>
      </c>
      <c r="C30" s="3"/>
      <c r="D30" s="63">
        <f>+Data!J21</f>
        <v>5034000</v>
      </c>
      <c r="E30" s="23">
        <f t="shared" si="1"/>
        <v>0.22257593845337578</v>
      </c>
      <c r="F30" s="74">
        <f t="shared" si="2"/>
        <v>4.49284862932062</v>
      </c>
      <c r="G30" s="73">
        <f t="shared" si="3"/>
        <v>4</v>
      </c>
      <c r="H30" s="91"/>
      <c r="J30" s="13"/>
      <c r="K30"/>
      <c r="L30" s="13"/>
    </row>
    <row r="31" spans="1:12">
      <c r="A31" s="26">
        <f>+Data!A13</f>
        <v>10</v>
      </c>
      <c r="B31" s="3" t="str">
        <f>+Data!B13</f>
        <v>Existing Res buildings 100% HPWH by 2043</v>
      </c>
      <c r="C31" s="3"/>
      <c r="D31" s="63">
        <f>+Data!J13</f>
        <v>4470000</v>
      </c>
      <c r="E31" s="23">
        <f t="shared" si="1"/>
        <v>0.19763894415704999</v>
      </c>
      <c r="F31" s="74">
        <f t="shared" si="2"/>
        <v>5.059731543624161</v>
      </c>
      <c r="G31" s="73">
        <f t="shared" si="3"/>
        <v>4</v>
      </c>
      <c r="H31" s="26"/>
      <c r="J31" s="13"/>
      <c r="K31"/>
      <c r="L31" s="13"/>
    </row>
    <row r="32" spans="1:12">
      <c r="A32" s="26">
        <f>+Data!A8</f>
        <v>5</v>
      </c>
      <c r="B32" s="3" t="str">
        <f>+Data!B8</f>
        <v>100% Elec HP &amp; WH in New Res by 2025</v>
      </c>
      <c r="C32" s="3"/>
      <c r="D32" s="63">
        <f>+Data!J8</f>
        <v>4269000</v>
      </c>
      <c r="E32" s="23">
        <f t="shared" si="1"/>
        <v>0.18875182384931688</v>
      </c>
      <c r="F32" s="74">
        <f t="shared" si="2"/>
        <v>5.297962052002811</v>
      </c>
      <c r="G32" s="73">
        <f t="shared" si="3"/>
        <v>4</v>
      </c>
      <c r="H32" s="26"/>
      <c r="J32" s="13"/>
      <c r="K32"/>
      <c r="L32" s="13"/>
    </row>
    <row r="33" spans="1:12">
      <c r="A33" s="26">
        <f>+Data!A19</f>
        <v>16</v>
      </c>
      <c r="B33" s="3" t="str">
        <f>+Data!B19</f>
        <v>10% Micro-mobility by 2035</v>
      </c>
      <c r="C33" s="3"/>
      <c r="D33" s="63">
        <f>+Data!J19</f>
        <v>3607000</v>
      </c>
      <c r="E33" s="23">
        <f t="shared" si="1"/>
        <v>0.15948180572136003</v>
      </c>
      <c r="F33" s="74">
        <f t="shared" si="2"/>
        <v>6.2703077349598004</v>
      </c>
      <c r="G33" s="73">
        <f t="shared" si="3"/>
        <v>3</v>
      </c>
      <c r="H33" s="26">
        <v>3</v>
      </c>
      <c r="J33" s="13"/>
      <c r="K33"/>
      <c r="L33" s="13"/>
    </row>
    <row r="34" spans="1:12">
      <c r="A34" s="26">
        <f>+Data!A28</f>
        <v>25</v>
      </c>
      <c r="B34" s="3" t="str">
        <f>+Data!B28</f>
        <v>Home Fuel Cells 5% by 2030</v>
      </c>
      <c r="C34" s="3"/>
      <c r="D34" s="63">
        <f>+Data!J28</f>
        <v>3409000</v>
      </c>
      <c r="E34" s="23">
        <f t="shared" si="1"/>
        <v>0.1507273290003095</v>
      </c>
      <c r="F34" s="74">
        <f t="shared" si="2"/>
        <v>6.6344969199178641</v>
      </c>
      <c r="G34" s="73">
        <f t="shared" si="3"/>
        <v>3</v>
      </c>
      <c r="H34" s="91"/>
      <c r="J34" s="13"/>
      <c r="K34"/>
      <c r="L34" s="13"/>
    </row>
    <row r="35" spans="1:12">
      <c r="A35" s="26">
        <f>+Data!A14</f>
        <v>11</v>
      </c>
      <c r="B35" s="3" t="str">
        <f>+Data!B14</f>
        <v>Existing Com buildings 100% HP by 2043</v>
      </c>
      <c r="C35" s="3"/>
      <c r="D35" s="63">
        <f>+Data!J14</f>
        <v>2813000</v>
      </c>
      <c r="E35" s="23">
        <f t="shared" si="1"/>
        <v>0.1243754697793695</v>
      </c>
      <c r="F35" s="74">
        <f t="shared" si="2"/>
        <v>8.0401706363313181</v>
      </c>
      <c r="G35" s="73">
        <f t="shared" si="3"/>
        <v>3</v>
      </c>
      <c r="H35" s="26"/>
      <c r="J35" s="13"/>
      <c r="K35"/>
      <c r="L35" s="13"/>
    </row>
    <row r="36" spans="1:12">
      <c r="A36" s="26">
        <f>+Data!A12</f>
        <v>9</v>
      </c>
      <c r="B36" s="3" t="str">
        <f>+Data!B12</f>
        <v>Existing Res buildings 100% HP by 2043</v>
      </c>
      <c r="C36" s="3"/>
      <c r="D36" s="63">
        <f>+Data!J12</f>
        <v>2740000</v>
      </c>
      <c r="E36" s="23">
        <f t="shared" si="1"/>
        <v>0.1211478091700933</v>
      </c>
      <c r="F36" s="74">
        <f t="shared" si="2"/>
        <v>8.2543795620437947</v>
      </c>
      <c r="G36" s="73">
        <f t="shared" si="3"/>
        <v>3</v>
      </c>
      <c r="H36" s="26"/>
      <c r="J36" s="13"/>
      <c r="K36"/>
      <c r="L36" s="13"/>
    </row>
    <row r="37" spans="1:12">
      <c r="A37" s="26">
        <f>+Data!A24</f>
        <v>21</v>
      </c>
      <c r="B37" s="3" t="str">
        <f>+Data!B24</f>
        <v>Food Waste Program</v>
      </c>
      <c r="C37" s="3"/>
      <c r="D37" s="63">
        <f>+Data!J24</f>
        <v>2572000</v>
      </c>
      <c r="E37" s="23">
        <f t="shared" si="1"/>
        <v>0.11371976831586859</v>
      </c>
      <c r="F37" s="74">
        <f t="shared" si="2"/>
        <v>8.7935458786936245</v>
      </c>
      <c r="G37" s="73">
        <f t="shared" si="3"/>
        <v>3</v>
      </c>
      <c r="H37" s="26"/>
      <c r="J37" s="13"/>
      <c r="K37"/>
      <c r="L37" s="13"/>
    </row>
    <row r="38" spans="1:12">
      <c r="A38" s="26">
        <f>+Data!A23</f>
        <v>20</v>
      </c>
      <c r="B38" s="3" t="str">
        <f>+Data!B23</f>
        <v>Water Systems EE 20% by 2035</v>
      </c>
      <c r="C38" s="3"/>
      <c r="D38" s="63">
        <f>+Data!J23</f>
        <v>2286000</v>
      </c>
      <c r="E38" s="23">
        <f t="shared" si="1"/>
        <v>0.10107441305212893</v>
      </c>
      <c r="F38" s="74">
        <f t="shared" si="2"/>
        <v>9.8937007874015741</v>
      </c>
      <c r="G38" s="73">
        <f t="shared" si="3"/>
        <v>2</v>
      </c>
      <c r="H38" s="26">
        <v>2</v>
      </c>
      <c r="J38" s="13"/>
      <c r="K38"/>
      <c r="L38" s="13"/>
    </row>
    <row r="39" spans="1:12">
      <c r="A39" s="26">
        <f>+Data!A22</f>
        <v>19</v>
      </c>
      <c r="B39" s="3" t="str">
        <f>+Data!B22</f>
        <v>Congestion Pricing</v>
      </c>
      <c r="C39" s="3"/>
      <c r="D39" s="63">
        <f>+Data!J22</f>
        <v>2073000</v>
      </c>
      <c r="E39" s="23">
        <f t="shared" si="1"/>
        <v>9.1656718397665468E-2</v>
      </c>
      <c r="F39" s="74">
        <f t="shared" si="2"/>
        <v>10.91027496382055</v>
      </c>
      <c r="G39" s="73">
        <f t="shared" si="3"/>
        <v>2</v>
      </c>
      <c r="H39" s="26"/>
      <c r="J39" s="13"/>
      <c r="K39"/>
      <c r="L39" s="13"/>
    </row>
    <row r="40" spans="1:12">
      <c r="A40" s="26">
        <f>+Data!A4</f>
        <v>1</v>
      </c>
      <c r="B40" s="3" t="str">
        <f>+Data!B4</f>
        <v>Reduced Res Floor Area</v>
      </c>
      <c r="C40" s="3"/>
      <c r="D40" s="63">
        <f>+Data!J4</f>
        <v>1718000</v>
      </c>
      <c r="E40" s="23">
        <f t="shared" si="1"/>
        <v>7.5960560640226382E-2</v>
      </c>
      <c r="F40" s="74">
        <f t="shared" si="2"/>
        <v>13.164726426076834</v>
      </c>
      <c r="G40" s="73">
        <f t="shared" si="3"/>
        <v>2</v>
      </c>
      <c r="H40" s="26"/>
      <c r="J40" s="13"/>
      <c r="K40"/>
      <c r="L40" s="13"/>
    </row>
    <row r="41" spans="1:12">
      <c r="A41" s="26">
        <f>+Data!A5</f>
        <v>2</v>
      </c>
      <c r="B41" s="3" t="str">
        <f>+Data!B5</f>
        <v>Higher Urban Res Density</v>
      </c>
      <c r="C41" s="3"/>
      <c r="D41" s="63">
        <f>+Data!J5</f>
        <v>1315000</v>
      </c>
      <c r="E41" s="23">
        <f t="shared" si="1"/>
        <v>5.8142105495865945E-2</v>
      </c>
      <c r="F41" s="74">
        <f t="shared" si="2"/>
        <v>17.199239543726236</v>
      </c>
      <c r="G41" s="73">
        <f t="shared" si="3"/>
        <v>1</v>
      </c>
      <c r="H41" s="26">
        <v>1</v>
      </c>
      <c r="J41" s="13"/>
      <c r="K41"/>
      <c r="L41" s="13"/>
    </row>
    <row r="42" spans="1:12">
      <c r="A42" s="26">
        <f>+Data!A9</f>
        <v>6</v>
      </c>
      <c r="B42" s="3" t="str">
        <f>+Data!B9</f>
        <v>100% Elec HP &amp; 50% WH in New Com by 2025</v>
      </c>
      <c r="C42" s="3"/>
      <c r="D42" s="63">
        <f>+Data!J9</f>
        <v>1123000</v>
      </c>
      <c r="E42" s="23">
        <f t="shared" si="1"/>
        <v>4.9652915948180575E-2</v>
      </c>
      <c r="F42" s="74">
        <f t="shared" si="2"/>
        <v>20.13980409617097</v>
      </c>
      <c r="G42" s="73">
        <f t="shared" si="3"/>
        <v>1</v>
      </c>
      <c r="H42" s="26"/>
      <c r="J42" s="13"/>
      <c r="K42"/>
      <c r="L42" s="13"/>
    </row>
    <row r="43" spans="1:12">
      <c r="A43" s="26">
        <f>+Data!A15</f>
        <v>12</v>
      </c>
      <c r="B43" s="3" t="str">
        <f>+Data!B15</f>
        <v>Existing Com buildings 100% HPWH by 2043</v>
      </c>
      <c r="C43" s="3"/>
      <c r="D43" s="63">
        <f>+Data!J15</f>
        <v>617000</v>
      </c>
      <c r="E43" s="23">
        <f t="shared" si="1"/>
        <v>2.7280364327718087E-2</v>
      </c>
      <c r="F43" s="74">
        <f t="shared" si="2"/>
        <v>36.656401944894654</v>
      </c>
      <c r="G43" s="73">
        <f t="shared" si="3"/>
        <v>1</v>
      </c>
      <c r="H43" s="26"/>
      <c r="J43" s="13"/>
      <c r="K43"/>
      <c r="L43" s="13"/>
    </row>
    <row r="44" spans="1:12">
      <c r="A44" s="26">
        <f>+Data!A18</f>
        <v>15</v>
      </c>
      <c r="B44" s="3" t="str">
        <f>+Data!B18</f>
        <v>10% Mode Shift MD to LD</v>
      </c>
      <c r="C44" s="3"/>
      <c r="D44" s="63">
        <f>+Data!J18</f>
        <v>588000</v>
      </c>
      <c r="E44" s="23">
        <f t="shared" si="1"/>
        <v>2.5998142989786442E-2</v>
      </c>
      <c r="F44" s="74">
        <f t="shared" si="2"/>
        <v>38.464285714285715</v>
      </c>
      <c r="G44" s="73">
        <f t="shared" si="3"/>
        <v>1</v>
      </c>
      <c r="H44" s="26"/>
      <c r="J44" s="13"/>
      <c r="K44"/>
      <c r="L44" s="13"/>
    </row>
    <row r="45" spans="1:12">
      <c r="A45" s="325"/>
      <c r="B45" s="324"/>
      <c r="C45" s="324"/>
      <c r="D45" s="326"/>
      <c r="E45" s="327"/>
      <c r="F45" s="328"/>
      <c r="G45" s="13"/>
      <c r="H45" s="325"/>
      <c r="J45" s="13"/>
      <c r="K45"/>
      <c r="L45" s="13"/>
    </row>
    <row r="46" spans="1:12">
      <c r="A46" s="325"/>
      <c r="B46" s="324"/>
      <c r="C46" s="324"/>
      <c r="D46" s="326"/>
      <c r="E46" s="327"/>
      <c r="F46" s="328"/>
      <c r="G46" s="13"/>
      <c r="H46" s="325"/>
      <c r="J46" s="13"/>
      <c r="K46"/>
      <c r="L46" s="13"/>
    </row>
    <row r="47" spans="1:12">
      <c r="A47" s="13"/>
      <c r="B47" s="323" t="s">
        <v>279</v>
      </c>
      <c r="C47" s="13"/>
      <c r="D47" s="13"/>
      <c r="E47" s="13"/>
      <c r="F47" s="13"/>
      <c r="G47" s="13"/>
      <c r="J47" s="13"/>
      <c r="K47"/>
      <c r="L47" s="13"/>
    </row>
    <row r="48" spans="1:12">
      <c r="A48" s="13"/>
      <c r="B48" s="318" t="s">
        <v>33</v>
      </c>
      <c r="C48" s="318"/>
      <c r="D48" s="13"/>
      <c r="E48" s="13"/>
      <c r="F48" s="13"/>
      <c r="G48" s="13"/>
      <c r="J48" s="13"/>
      <c r="K48"/>
      <c r="L48" s="13"/>
    </row>
    <row r="49" spans="1:2">
      <c r="A49"/>
      <c r="B49" s="13" t="s">
        <v>10</v>
      </c>
    </row>
    <row r="50" spans="1:2">
      <c r="A50"/>
    </row>
    <row r="51" spans="1:2">
      <c r="A51"/>
    </row>
    <row r="52" spans="1:2">
      <c r="A52"/>
    </row>
    <row r="53" spans="1:2">
      <c r="A53"/>
    </row>
    <row r="54" spans="1:2">
      <c r="A54"/>
    </row>
    <row r="55" spans="1:2">
      <c r="A55"/>
    </row>
    <row r="56" spans="1:2">
      <c r="A56"/>
    </row>
    <row r="57" spans="1:2">
      <c r="A57"/>
    </row>
  </sheetData>
  <sortState xmlns:xlrd2="http://schemas.microsoft.com/office/spreadsheetml/2017/richdata2" ref="A20:G44">
    <sortCondition descending="1" ref="D20:D44"/>
  </sortState>
  <mergeCells count="4">
    <mergeCell ref="B6:D6"/>
    <mergeCell ref="B19:C19"/>
    <mergeCell ref="K19:L19"/>
    <mergeCell ref="I19:J19"/>
  </mergeCells>
  <phoneticPr fontId="5"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A64B5-7DDE-4B7C-98B8-91A4FE30B30C}">
  <sheetPr>
    <tabColor rgb="FFCC99FF"/>
  </sheetPr>
  <dimension ref="A1:N49"/>
  <sheetViews>
    <sheetView workbookViewId="0"/>
  </sheetViews>
  <sheetFormatPr defaultRowHeight="15"/>
  <cols>
    <col min="1" max="1" width="9.140625" style="48"/>
    <col min="2" max="3" width="20.7109375" customWidth="1"/>
    <col min="4" max="4" width="13.85546875" customWidth="1"/>
    <col min="5" max="5" width="12.140625" customWidth="1"/>
    <col min="8" max="8" width="9.140625" style="48"/>
    <col min="10" max="11" width="11.28515625" customWidth="1"/>
    <col min="13" max="13" width="12" customWidth="1"/>
  </cols>
  <sheetData>
    <row r="1" spans="2:6" ht="21">
      <c r="B1" s="24" t="s">
        <v>0</v>
      </c>
    </row>
    <row r="2" spans="2:6">
      <c r="B2" t="s">
        <v>111</v>
      </c>
      <c r="C2">
        <f>+'Eval Crit List'!B8</f>
        <v>15</v>
      </c>
      <c r="F2" s="13"/>
    </row>
    <row r="3" spans="2:6">
      <c r="B3" t="s">
        <v>131</v>
      </c>
      <c r="C3" s="67">
        <f>MIN(D20:D46)</f>
        <v>-15898.511732319392</v>
      </c>
      <c r="F3" s="13"/>
    </row>
    <row r="4" spans="2:6">
      <c r="B4" t="s">
        <v>132</v>
      </c>
      <c r="C4" s="67">
        <f>MAX(D20:D46)</f>
        <v>1346.8505653284672</v>
      </c>
      <c r="F4" s="13"/>
    </row>
    <row r="5" spans="2:6">
      <c r="B5" s="101" t="s">
        <v>105</v>
      </c>
      <c r="C5" s="67"/>
      <c r="F5" s="13"/>
    </row>
    <row r="6" spans="2:6">
      <c r="B6" s="178" t="s">
        <v>1</v>
      </c>
      <c r="C6" s="179"/>
      <c r="D6" s="180"/>
    </row>
    <row r="7" spans="2:6">
      <c r="B7" s="75" t="s">
        <v>129</v>
      </c>
      <c r="C7" s="75" t="s">
        <v>130</v>
      </c>
      <c r="D7" s="75" t="s">
        <v>55</v>
      </c>
    </row>
    <row r="8" spans="2:6">
      <c r="B8" s="76">
        <f>+K20</f>
        <v>-16000</v>
      </c>
      <c r="C8" s="76">
        <f>+B9-1</f>
        <v>-12501</v>
      </c>
      <c r="D8" s="77">
        <v>10</v>
      </c>
      <c r="E8" s="20"/>
      <c r="F8" s="16"/>
    </row>
    <row r="9" spans="2:6">
      <c r="B9" s="76">
        <f t="shared" ref="B9:B17" si="0">+K21</f>
        <v>-12500</v>
      </c>
      <c r="C9" s="76">
        <f t="shared" ref="C9:C12" si="1">+B10-1</f>
        <v>-10001</v>
      </c>
      <c r="D9" s="77">
        <v>9</v>
      </c>
      <c r="E9" s="20"/>
      <c r="F9" s="16"/>
    </row>
    <row r="10" spans="2:6">
      <c r="B10" s="76">
        <f t="shared" si="0"/>
        <v>-10000</v>
      </c>
      <c r="C10" s="76">
        <f t="shared" si="1"/>
        <v>-7501</v>
      </c>
      <c r="D10" s="77">
        <v>8</v>
      </c>
      <c r="E10" s="20"/>
      <c r="F10" s="16"/>
    </row>
    <row r="11" spans="2:6">
      <c r="B11" s="76">
        <f t="shared" si="0"/>
        <v>-7500</v>
      </c>
      <c r="C11" s="76">
        <f t="shared" si="1"/>
        <v>-5001</v>
      </c>
      <c r="D11" s="77">
        <v>7</v>
      </c>
      <c r="E11" s="20"/>
      <c r="F11" s="16"/>
    </row>
    <row r="12" spans="2:6">
      <c r="B12" s="76">
        <f t="shared" si="0"/>
        <v>-5000</v>
      </c>
      <c r="C12" s="76">
        <f t="shared" si="1"/>
        <v>-2501</v>
      </c>
      <c r="D12" s="77">
        <v>6</v>
      </c>
      <c r="E12" s="20"/>
      <c r="F12" s="16"/>
    </row>
    <row r="13" spans="2:6">
      <c r="B13" s="76">
        <f t="shared" si="0"/>
        <v>-2500</v>
      </c>
      <c r="C13" s="76">
        <v>-1</v>
      </c>
      <c r="D13" s="77">
        <v>5</v>
      </c>
      <c r="E13" s="20"/>
      <c r="F13" s="16"/>
    </row>
    <row r="14" spans="2:6">
      <c r="B14" s="76">
        <f t="shared" si="0"/>
        <v>-200</v>
      </c>
      <c r="C14" s="76">
        <f t="shared" ref="C14:C16" si="2">+B15-1</f>
        <v>-2</v>
      </c>
      <c r="D14" s="77">
        <v>4</v>
      </c>
      <c r="E14" s="20"/>
      <c r="F14" s="16"/>
    </row>
    <row r="15" spans="2:6">
      <c r="B15" s="76">
        <f t="shared" si="0"/>
        <v>-1</v>
      </c>
      <c r="C15" s="76">
        <f t="shared" si="2"/>
        <v>399</v>
      </c>
      <c r="D15" s="77">
        <v>3</v>
      </c>
      <c r="E15" s="20"/>
      <c r="F15" s="16"/>
    </row>
    <row r="16" spans="2:6">
      <c r="B16" s="76">
        <f t="shared" si="0"/>
        <v>400</v>
      </c>
      <c r="C16" s="76">
        <f t="shared" si="2"/>
        <v>999</v>
      </c>
      <c r="D16" s="77">
        <v>2</v>
      </c>
      <c r="E16" s="20"/>
      <c r="F16" s="16"/>
    </row>
    <row r="17" spans="1:14" s="1" customFormat="1">
      <c r="A17" s="108"/>
      <c r="B17" s="76">
        <f t="shared" si="0"/>
        <v>1000</v>
      </c>
      <c r="C17" s="76">
        <v>10000</v>
      </c>
      <c r="D17" s="77">
        <v>1</v>
      </c>
      <c r="E17" s="20"/>
      <c r="F17"/>
      <c r="H17" s="108"/>
    </row>
    <row r="18" spans="1:14" s="1" customFormat="1">
      <c r="A18" s="108"/>
      <c r="E18" s="20"/>
      <c r="F18"/>
      <c r="H18" s="108"/>
    </row>
    <row r="19" spans="1:14" s="1" customFormat="1" ht="60" customHeight="1">
      <c r="A19" s="58" t="s">
        <v>61</v>
      </c>
      <c r="B19" s="185" t="s">
        <v>112</v>
      </c>
      <c r="C19" s="185"/>
      <c r="D19" s="79" t="str">
        <f>+Data!K3</f>
        <v xml:space="preserve">Cost-Effectiveness (MAC) </v>
      </c>
      <c r="E19" s="109" t="s">
        <v>207</v>
      </c>
      <c r="F19" s="109" t="s">
        <v>208</v>
      </c>
      <c r="G19" s="72" t="s">
        <v>136</v>
      </c>
      <c r="H19" s="91" t="s">
        <v>135</v>
      </c>
      <c r="I19" s="183" t="s">
        <v>134</v>
      </c>
      <c r="J19" s="184"/>
      <c r="K19" s="82" t="s">
        <v>137</v>
      </c>
      <c r="L19" s="183" t="s">
        <v>133</v>
      </c>
      <c r="M19" s="184"/>
    </row>
    <row r="20" spans="1:14" ht="15" customHeight="1">
      <c r="A20" s="26">
        <f>+Data!A5</f>
        <v>2</v>
      </c>
      <c r="B20" s="3" t="str">
        <f>+Data!B5</f>
        <v>Higher Urban Res Density</v>
      </c>
      <c r="C20" s="3"/>
      <c r="D20" s="62">
        <f>+Data!K5</f>
        <v>-15898.511732319392</v>
      </c>
      <c r="E20" s="90">
        <f t="shared" ref="E20:E44" si="3">-D20+$D$44</f>
        <v>17245.362297647858</v>
      </c>
      <c r="F20" s="23">
        <f t="shared" ref="F20:F44" si="4">+E20/$E$20</f>
        <v>1</v>
      </c>
      <c r="G20" s="73">
        <f t="shared" ref="G20:G44" si="5">VLOOKUP(D20,$B$8:$D$17,3,TRUE)</f>
        <v>10</v>
      </c>
      <c r="H20" s="26">
        <v>10</v>
      </c>
      <c r="I20" s="81">
        <v>10</v>
      </c>
      <c r="J20" s="14">
        <v>17250</v>
      </c>
      <c r="K20" s="14">
        <v>-16000</v>
      </c>
      <c r="L20" s="74">
        <v>1</v>
      </c>
      <c r="M20" s="14">
        <v>17250</v>
      </c>
      <c r="N20" s="80"/>
    </row>
    <row r="21" spans="1:14">
      <c r="A21" s="26">
        <f>+Data!A24</f>
        <v>21</v>
      </c>
      <c r="B21" s="3" t="str">
        <f>+Data!B24</f>
        <v>Food Waste Program</v>
      </c>
      <c r="C21" s="3"/>
      <c r="D21" s="62">
        <f>+Data!K24</f>
        <v>-9393</v>
      </c>
      <c r="E21" s="90">
        <f t="shared" si="3"/>
        <v>10739.850565328466</v>
      </c>
      <c r="F21" s="23">
        <f t="shared" si="4"/>
        <v>0.62276746524445614</v>
      </c>
      <c r="G21" s="73">
        <f t="shared" si="5"/>
        <v>8</v>
      </c>
      <c r="H21" s="26">
        <v>8</v>
      </c>
      <c r="I21" s="81">
        <v>9</v>
      </c>
      <c r="J21" s="14">
        <v>12500</v>
      </c>
      <c r="K21" s="14">
        <v>-12500</v>
      </c>
      <c r="L21" s="3">
        <v>0.9</v>
      </c>
      <c r="M21" s="14">
        <f>+L21*$M$20</f>
        <v>15525</v>
      </c>
      <c r="N21" s="80"/>
    </row>
    <row r="22" spans="1:14">
      <c r="A22" s="26">
        <f>+Data!A4</f>
        <v>1</v>
      </c>
      <c r="B22" s="3" t="str">
        <f>+Data!B4</f>
        <v>Reduced Res Floor Area</v>
      </c>
      <c r="C22" s="3"/>
      <c r="D22" s="62">
        <f>+Data!K4</f>
        <v>-4261.3020407450522</v>
      </c>
      <c r="E22" s="90">
        <f t="shared" si="3"/>
        <v>5608.1526060735196</v>
      </c>
      <c r="F22" s="23">
        <f t="shared" si="4"/>
        <v>0.32519772616423553</v>
      </c>
      <c r="G22" s="73">
        <f t="shared" si="5"/>
        <v>6</v>
      </c>
      <c r="H22" s="26">
        <v>7</v>
      </c>
      <c r="I22" s="81">
        <v>8</v>
      </c>
      <c r="J22" s="14">
        <v>7500</v>
      </c>
      <c r="K22" s="14">
        <v>-10000</v>
      </c>
      <c r="L22" s="3">
        <v>0.8</v>
      </c>
      <c r="M22" s="14">
        <f t="shared" ref="M22:M29" si="6">+L22*$M$20</f>
        <v>13800</v>
      </c>
      <c r="N22" s="80"/>
    </row>
    <row r="23" spans="1:14">
      <c r="A23" s="26">
        <f>+Data!A18</f>
        <v>15</v>
      </c>
      <c r="B23" s="3" t="str">
        <f>+Data!B18</f>
        <v>10% Mode Shift MD to LD</v>
      </c>
      <c r="C23" s="3"/>
      <c r="D23" s="62">
        <f>+Data!K18</f>
        <v>-1355.6587329931972</v>
      </c>
      <c r="E23" s="90">
        <f t="shared" si="3"/>
        <v>2702.5092983216646</v>
      </c>
      <c r="F23" s="23">
        <f t="shared" si="4"/>
        <v>0.15670933736719855</v>
      </c>
      <c r="G23" s="73">
        <f t="shared" si="5"/>
        <v>5</v>
      </c>
      <c r="H23" s="26">
        <v>5</v>
      </c>
      <c r="I23" s="81">
        <v>7</v>
      </c>
      <c r="J23" s="14">
        <v>5000</v>
      </c>
      <c r="K23" s="14">
        <v>-7500</v>
      </c>
      <c r="L23" s="3">
        <v>0.7</v>
      </c>
      <c r="M23" s="14">
        <f t="shared" si="6"/>
        <v>12075</v>
      </c>
    </row>
    <row r="24" spans="1:14">
      <c r="A24" s="26">
        <f>+Data!A17</f>
        <v>14</v>
      </c>
      <c r="B24" s="3" t="str">
        <f>+Data!B17</f>
        <v>MD/HD Zero Emission Plan</v>
      </c>
      <c r="C24" s="3"/>
      <c r="D24" s="62">
        <f>+Data!K17</f>
        <v>-843.9458075707222</v>
      </c>
      <c r="E24" s="90">
        <f t="shared" si="3"/>
        <v>2190.7963728991895</v>
      </c>
      <c r="F24" s="23">
        <f t="shared" si="4"/>
        <v>0.12703684243258828</v>
      </c>
      <c r="G24" s="73">
        <f t="shared" si="5"/>
        <v>5</v>
      </c>
      <c r="H24" s="26"/>
      <c r="I24" s="81">
        <v>6</v>
      </c>
      <c r="J24" s="14">
        <v>3000</v>
      </c>
      <c r="K24" s="14">
        <v>-5000</v>
      </c>
      <c r="L24" s="3">
        <v>0.6</v>
      </c>
      <c r="M24" s="14">
        <f t="shared" si="6"/>
        <v>10350</v>
      </c>
    </row>
    <row r="25" spans="1:14">
      <c r="A25" s="26">
        <f>+Data!A19</f>
        <v>16</v>
      </c>
      <c r="B25" s="3" t="str">
        <f>+Data!B19</f>
        <v>10% Micro-mobility by 2035</v>
      </c>
      <c r="C25" s="3"/>
      <c r="D25" s="62">
        <f>+Data!K19</f>
        <v>-805.23519406709181</v>
      </c>
      <c r="E25" s="90">
        <f t="shared" si="3"/>
        <v>2152.0857593955589</v>
      </c>
      <c r="F25" s="23">
        <f t="shared" si="4"/>
        <v>0.12479214540416397</v>
      </c>
      <c r="G25" s="73">
        <f t="shared" si="5"/>
        <v>5</v>
      </c>
      <c r="H25" s="26"/>
      <c r="I25" s="81">
        <v>5</v>
      </c>
      <c r="J25" s="14">
        <v>1500</v>
      </c>
      <c r="K25" s="14">
        <v>-2500</v>
      </c>
      <c r="L25" s="3">
        <v>0.5</v>
      </c>
      <c r="M25" s="14">
        <f t="shared" si="6"/>
        <v>8625</v>
      </c>
    </row>
    <row r="26" spans="1:14">
      <c r="A26" s="26">
        <f>+Data!A20</f>
        <v>17</v>
      </c>
      <c r="B26" s="3" t="str">
        <f>+Data!B20</f>
        <v>Increase Amtrak Ridership</v>
      </c>
      <c r="C26" s="3"/>
      <c r="D26" s="62">
        <f>+Data!K20</f>
        <v>-531.41356377551017</v>
      </c>
      <c r="E26" s="90">
        <f t="shared" si="3"/>
        <v>1878.2641291039772</v>
      </c>
      <c r="F26" s="23">
        <f t="shared" si="4"/>
        <v>0.10891415887273988</v>
      </c>
      <c r="G26" s="73">
        <f t="shared" si="5"/>
        <v>5</v>
      </c>
      <c r="H26" s="26"/>
      <c r="I26" s="81">
        <v>4</v>
      </c>
      <c r="J26" s="14">
        <v>1350</v>
      </c>
      <c r="K26" s="14">
        <v>-200</v>
      </c>
      <c r="L26" s="3">
        <v>0.4</v>
      </c>
      <c r="M26" s="14">
        <f t="shared" si="6"/>
        <v>6900</v>
      </c>
    </row>
    <row r="27" spans="1:14">
      <c r="A27" s="26">
        <f>+Data!A21</f>
        <v>18</v>
      </c>
      <c r="B27" s="3" t="str">
        <f>+Data!B21</f>
        <v>Carshare Increases by 2035</v>
      </c>
      <c r="C27" s="3"/>
      <c r="D27" s="62">
        <f>+Data!K21</f>
        <v>-379.57311620977356</v>
      </c>
      <c r="E27" s="90">
        <f t="shared" si="3"/>
        <v>1726.4236815382408</v>
      </c>
      <c r="F27" s="23">
        <f t="shared" si="4"/>
        <v>0.1001094469191704</v>
      </c>
      <c r="G27" s="73">
        <f t="shared" si="5"/>
        <v>5</v>
      </c>
      <c r="H27" s="26"/>
      <c r="I27" s="81">
        <v>3</v>
      </c>
      <c r="J27" s="14">
        <v>1200</v>
      </c>
      <c r="K27" s="14">
        <v>-1</v>
      </c>
      <c r="L27" s="3">
        <v>0.3</v>
      </c>
      <c r="M27" s="14">
        <f t="shared" si="6"/>
        <v>5175</v>
      </c>
    </row>
    <row r="28" spans="1:14">
      <c r="A28" s="26">
        <f>+Data!A22</f>
        <v>19</v>
      </c>
      <c r="B28" s="3" t="str">
        <f>+Data!B22</f>
        <v>Congestion Pricing</v>
      </c>
      <c r="C28" s="3"/>
      <c r="D28" s="62">
        <f>+Data!K22</f>
        <v>-303.2991490593343</v>
      </c>
      <c r="E28" s="90">
        <f t="shared" si="3"/>
        <v>1650.1497143878014</v>
      </c>
      <c r="F28" s="23">
        <f t="shared" si="4"/>
        <v>9.5686578565697622E-2</v>
      </c>
      <c r="G28" s="73">
        <f t="shared" si="5"/>
        <v>5</v>
      </c>
      <c r="H28" s="26"/>
      <c r="I28" s="81">
        <v>2</v>
      </c>
      <c r="J28" s="14">
        <v>900</v>
      </c>
      <c r="K28" s="14">
        <v>400</v>
      </c>
      <c r="L28" s="3">
        <v>0.2</v>
      </c>
      <c r="M28" s="14">
        <f t="shared" si="6"/>
        <v>3450</v>
      </c>
    </row>
    <row r="29" spans="1:14">
      <c r="A29" s="26">
        <f>+Data!A16</f>
        <v>13</v>
      </c>
      <c r="B29" s="3" t="str">
        <f>+Data!B16</f>
        <v>Non-CPP Ind EE 50% by 2050</v>
      </c>
      <c r="C29" s="3"/>
      <c r="D29" s="62">
        <f>+Data!K16</f>
        <v>-115.31074678804787</v>
      </c>
      <c r="E29" s="90">
        <f t="shared" si="3"/>
        <v>1462.1613121165151</v>
      </c>
      <c r="F29" s="23">
        <f t="shared" si="4"/>
        <v>8.4785769465448885E-2</v>
      </c>
      <c r="G29" s="73">
        <f t="shared" si="5"/>
        <v>4</v>
      </c>
      <c r="H29" s="26">
        <v>4</v>
      </c>
      <c r="I29" s="81">
        <v>1</v>
      </c>
      <c r="J29" s="14">
        <v>250</v>
      </c>
      <c r="K29" s="14">
        <v>1000</v>
      </c>
      <c r="L29" s="3">
        <v>0.1</v>
      </c>
      <c r="M29" s="14">
        <f t="shared" si="6"/>
        <v>1725</v>
      </c>
    </row>
    <row r="30" spans="1:14">
      <c r="A30" s="26">
        <f>+Data!A6</f>
        <v>3</v>
      </c>
      <c r="B30" s="3" t="str">
        <f>+Data!B6</f>
        <v>Res Code Reduction 60% by 2030</v>
      </c>
      <c r="C30" s="3"/>
      <c r="D30" s="62">
        <f>+Data!K6</f>
        <v>-62.072545499751371</v>
      </c>
      <c r="E30" s="90">
        <f t="shared" si="3"/>
        <v>1408.9231108282186</v>
      </c>
      <c r="F30" s="23">
        <f t="shared" si="4"/>
        <v>8.1698666952354226E-2</v>
      </c>
      <c r="G30" s="73">
        <f t="shared" si="5"/>
        <v>4</v>
      </c>
      <c r="H30" s="26"/>
      <c r="I30" s="13"/>
      <c r="J30" s="13"/>
      <c r="K30" s="13"/>
      <c r="M30" s="13"/>
    </row>
    <row r="31" spans="1:14">
      <c r="A31" s="26">
        <f>+Data!A13</f>
        <v>10</v>
      </c>
      <c r="B31" s="3" t="str">
        <f>+Data!B13</f>
        <v>Existing Res buildings 100% HPWH by 2043</v>
      </c>
      <c r="C31" s="3"/>
      <c r="D31" s="62">
        <f>+Data!K13</f>
        <v>-56.809596420581656</v>
      </c>
      <c r="E31" s="90">
        <f t="shared" si="3"/>
        <v>1403.6601617490487</v>
      </c>
      <c r="F31" s="23">
        <f t="shared" si="4"/>
        <v>8.1393486406516252E-2</v>
      </c>
      <c r="G31" s="73">
        <f t="shared" si="5"/>
        <v>4</v>
      </c>
      <c r="H31" s="26"/>
      <c r="I31" s="13"/>
      <c r="J31" s="13"/>
      <c r="K31" s="13"/>
      <c r="M31" s="13"/>
    </row>
    <row r="32" spans="1:14">
      <c r="A32" s="26">
        <f>+Data!A14</f>
        <v>11</v>
      </c>
      <c r="B32" s="3" t="str">
        <f>+Data!B14</f>
        <v>Existing Com buildings 100% HP by 2043</v>
      </c>
      <c r="C32" s="3"/>
      <c r="D32" s="62">
        <f>+Data!K14</f>
        <v>-49.928223960184859</v>
      </c>
      <c r="E32" s="90">
        <f t="shared" si="3"/>
        <v>1396.778789288652</v>
      </c>
      <c r="F32" s="23">
        <f t="shared" si="4"/>
        <v>8.0994458984440271E-2</v>
      </c>
      <c r="G32" s="73">
        <f t="shared" si="5"/>
        <v>4</v>
      </c>
      <c r="H32" s="26"/>
      <c r="I32" s="13"/>
      <c r="J32" s="13"/>
      <c r="K32" s="13"/>
      <c r="M32" s="13"/>
    </row>
    <row r="33" spans="1:13">
      <c r="A33" s="26">
        <f>+Data!A28</f>
        <v>25</v>
      </c>
      <c r="B33" s="3" t="str">
        <f>+Data!B28</f>
        <v>Home Fuel Cells 5% by 2030</v>
      </c>
      <c r="C33" s="3"/>
      <c r="D33" s="62">
        <f>+Data!K28</f>
        <v>-20.508572308594896</v>
      </c>
      <c r="E33" s="90">
        <f t="shared" si="3"/>
        <v>1367.3591376370621</v>
      </c>
      <c r="F33" s="23">
        <f t="shared" si="4"/>
        <v>7.9288513284731618E-2</v>
      </c>
      <c r="G33" s="73">
        <f t="shared" si="5"/>
        <v>4</v>
      </c>
      <c r="H33" s="26"/>
      <c r="I33" s="13"/>
      <c r="J33" s="13"/>
      <c r="K33" s="13"/>
      <c r="M33" s="13"/>
    </row>
    <row r="34" spans="1:13">
      <c r="A34" s="26">
        <f>+Data!A23</f>
        <v>20</v>
      </c>
      <c r="B34" s="3" t="str">
        <f>+Data!B23</f>
        <v>Water Systems EE 20% by 2035</v>
      </c>
      <c r="C34" s="3"/>
      <c r="D34" s="62">
        <f>+Data!K23</f>
        <v>0.73046281714785655</v>
      </c>
      <c r="E34" s="90">
        <f t="shared" si="3"/>
        <v>1346.1201025113194</v>
      </c>
      <c r="F34" s="23">
        <f t="shared" si="4"/>
        <v>7.8056933758644226E-2</v>
      </c>
      <c r="G34" s="73">
        <f t="shared" si="5"/>
        <v>3</v>
      </c>
      <c r="H34" s="26">
        <v>3</v>
      </c>
      <c r="I34" s="13"/>
      <c r="J34" s="13"/>
      <c r="K34" s="13"/>
      <c r="M34" s="13"/>
    </row>
    <row r="35" spans="1:13">
      <c r="A35" s="26">
        <f>+Data!A25</f>
        <v>22</v>
      </c>
      <c r="B35" s="3" t="str">
        <f>+Data!B25</f>
        <v>Ind RH2 70% by 2050</v>
      </c>
      <c r="C35" s="3"/>
      <c r="D35" s="62">
        <f>+Data!K25</f>
        <v>10.548478343847744</v>
      </c>
      <c r="E35" s="90">
        <f t="shared" si="3"/>
        <v>1336.3020869846193</v>
      </c>
      <c r="F35" s="23">
        <f t="shared" si="4"/>
        <v>7.7487620377037908E-2</v>
      </c>
      <c r="G35" s="73">
        <f t="shared" si="5"/>
        <v>3</v>
      </c>
      <c r="H35" s="26"/>
      <c r="I35" s="13"/>
      <c r="J35" s="13"/>
      <c r="K35" s="13"/>
      <c r="M35" s="13"/>
    </row>
    <row r="36" spans="1:13">
      <c r="A36" s="26">
        <f>+Data!A27</f>
        <v>24</v>
      </c>
      <c r="B36" s="3" t="str">
        <f>+Data!B27</f>
        <v>RH2 Injection 15% by 2035</v>
      </c>
      <c r="C36" s="3"/>
      <c r="D36" s="62">
        <f>+Data!K27</f>
        <v>67.37539760461334</v>
      </c>
      <c r="E36" s="90">
        <f t="shared" si="3"/>
        <v>1279.4751677238537</v>
      </c>
      <c r="F36" s="23">
        <f t="shared" si="4"/>
        <v>7.4192420294838621E-2</v>
      </c>
      <c r="G36" s="73">
        <f t="shared" si="5"/>
        <v>3</v>
      </c>
      <c r="H36" s="26"/>
      <c r="I36" s="13"/>
      <c r="J36" s="13"/>
      <c r="K36" s="13"/>
      <c r="M36" s="13"/>
    </row>
    <row r="37" spans="1:13">
      <c r="A37" s="26">
        <f>+Data!A26</f>
        <v>23</v>
      </c>
      <c r="B37" s="3" t="str">
        <f>+Data!B26</f>
        <v>RNG Full Potential by 2050</v>
      </c>
      <c r="C37" s="3"/>
      <c r="D37" s="62">
        <f>+Data!K26</f>
        <v>71.996275544944069</v>
      </c>
      <c r="E37" s="90">
        <f t="shared" si="3"/>
        <v>1274.8542897835232</v>
      </c>
      <c r="F37" s="23">
        <f t="shared" si="4"/>
        <v>7.3924471274077211E-2</v>
      </c>
      <c r="G37" s="73">
        <f t="shared" si="5"/>
        <v>3</v>
      </c>
      <c r="H37" s="26"/>
      <c r="I37" s="13"/>
      <c r="J37" s="13"/>
      <c r="K37" s="13"/>
      <c r="M37" s="13"/>
    </row>
    <row r="38" spans="1:13">
      <c r="A38" s="26">
        <f>+Data!A8</f>
        <v>5</v>
      </c>
      <c r="B38" s="3" t="str">
        <f>+Data!B8</f>
        <v>100% Elec HP &amp; WH in New Res by 2025</v>
      </c>
      <c r="C38" s="3"/>
      <c r="D38" s="62">
        <f>+Data!K8</f>
        <v>146.08912157413914</v>
      </c>
      <c r="E38" s="90">
        <f t="shared" si="3"/>
        <v>1200.761443754328</v>
      </c>
      <c r="F38" s="23">
        <f t="shared" si="4"/>
        <v>6.9628078728047549E-2</v>
      </c>
      <c r="G38" s="73">
        <f t="shared" si="5"/>
        <v>3</v>
      </c>
      <c r="H38" s="26"/>
      <c r="I38" s="13"/>
      <c r="J38" s="13"/>
      <c r="K38" s="13"/>
      <c r="M38" s="13"/>
    </row>
    <row r="39" spans="1:13">
      <c r="A39" s="26">
        <f>+Data!A7</f>
        <v>4</v>
      </c>
      <c r="B39" s="3" t="str">
        <f>+Data!B7</f>
        <v>Com Code Reduction 60% by 2030</v>
      </c>
      <c r="C39" s="3"/>
      <c r="D39" s="62">
        <f>+Data!K7</f>
        <v>200.24897021530083</v>
      </c>
      <c r="E39" s="90">
        <f t="shared" si="3"/>
        <v>1146.6015951131662</v>
      </c>
      <c r="F39" s="23">
        <f t="shared" si="4"/>
        <v>6.6487533014574843E-2</v>
      </c>
      <c r="G39" s="73">
        <f t="shared" si="5"/>
        <v>3</v>
      </c>
      <c r="H39" s="26"/>
      <c r="I39" s="13"/>
      <c r="J39" s="13"/>
      <c r="K39" s="13"/>
      <c r="M39" s="13"/>
    </row>
    <row r="40" spans="1:13">
      <c r="A40" s="26">
        <f>+Data!A9</f>
        <v>6</v>
      </c>
      <c r="B40" s="3" t="str">
        <f>+Data!B9</f>
        <v>100% Elec HP &amp; 50% WH in New Com by 2025</v>
      </c>
      <c r="C40" s="3"/>
      <c r="D40" s="62">
        <f>+Data!K9</f>
        <v>235.61305181838685</v>
      </c>
      <c r="E40" s="90">
        <f t="shared" si="3"/>
        <v>1111.2375135100804</v>
      </c>
      <c r="F40" s="23">
        <f t="shared" si="4"/>
        <v>6.4436890007329398E-2</v>
      </c>
      <c r="G40" s="73">
        <f t="shared" si="5"/>
        <v>3</v>
      </c>
      <c r="H40" s="26"/>
      <c r="I40" s="13"/>
      <c r="J40" s="13"/>
      <c r="K40" s="13"/>
      <c r="M40" s="13"/>
    </row>
    <row r="41" spans="1:13">
      <c r="A41" s="26">
        <f>+Data!A11</f>
        <v>8</v>
      </c>
      <c r="B41" s="3" t="str">
        <f>+Data!B11</f>
        <v>Wz in Existing Com by 2040</v>
      </c>
      <c r="C41" s="3"/>
      <c r="D41" s="62">
        <f>+Data!K11</f>
        <v>449.31254974441498</v>
      </c>
      <c r="E41" s="90">
        <f t="shared" si="3"/>
        <v>897.53801558405212</v>
      </c>
      <c r="F41" s="23">
        <f t="shared" si="4"/>
        <v>5.2045181776579422E-2</v>
      </c>
      <c r="G41" s="73">
        <f t="shared" si="5"/>
        <v>2</v>
      </c>
      <c r="H41" s="26">
        <v>2</v>
      </c>
      <c r="I41" s="13"/>
      <c r="J41" s="13"/>
      <c r="K41" s="13"/>
      <c r="M41" s="13"/>
    </row>
    <row r="42" spans="1:13">
      <c r="A42" s="26">
        <f>+Data!A10</f>
        <v>7</v>
      </c>
      <c r="B42" s="3" t="str">
        <f>+Data!B10</f>
        <v>Wz in Existing Res by 2040</v>
      </c>
      <c r="C42" s="3"/>
      <c r="D42" s="62">
        <f>+Data!K10</f>
        <v>712.55024512207581</v>
      </c>
      <c r="E42" s="90">
        <f t="shared" si="3"/>
        <v>634.30032020639135</v>
      </c>
      <c r="F42" s="23">
        <f t="shared" si="4"/>
        <v>3.6780921691213483E-2</v>
      </c>
      <c r="G42" s="73">
        <f t="shared" si="5"/>
        <v>2</v>
      </c>
      <c r="H42" s="26"/>
      <c r="I42" s="13"/>
      <c r="J42" s="13"/>
      <c r="K42" s="13"/>
      <c r="M42" s="13"/>
    </row>
    <row r="43" spans="1:13">
      <c r="A43" s="26">
        <f>+Data!A15</f>
        <v>12</v>
      </c>
      <c r="B43" s="3" t="str">
        <f>+Data!B15</f>
        <v>Existing Com buildings 100% HPWH by 2043</v>
      </c>
      <c r="C43" s="3"/>
      <c r="D43" s="62">
        <f>+Data!K15</f>
        <v>1132.8828330632091</v>
      </c>
      <c r="E43" s="90">
        <f t="shared" si="3"/>
        <v>213.96773226525806</v>
      </c>
      <c r="F43" s="23">
        <f t="shared" si="4"/>
        <v>1.2407262229245349E-2</v>
      </c>
      <c r="G43" s="73">
        <f t="shared" si="5"/>
        <v>1</v>
      </c>
      <c r="H43" s="26">
        <v>1</v>
      </c>
      <c r="I43" s="13"/>
      <c r="J43" s="13"/>
      <c r="K43" s="13"/>
      <c r="M43" s="13"/>
    </row>
    <row r="44" spans="1:13">
      <c r="A44" s="26">
        <f>+Data!A12</f>
        <v>9</v>
      </c>
      <c r="B44" s="3" t="str">
        <f>+Data!B12</f>
        <v>Existing Res buildings 100% HP by 2043</v>
      </c>
      <c r="C44" s="3"/>
      <c r="D44" s="62">
        <f>+Data!K12</f>
        <v>1346.8505653284672</v>
      </c>
      <c r="E44" s="90">
        <f t="shared" si="3"/>
        <v>0</v>
      </c>
      <c r="F44" s="23">
        <f t="shared" si="4"/>
        <v>0</v>
      </c>
      <c r="G44" s="73">
        <f t="shared" si="5"/>
        <v>1</v>
      </c>
      <c r="H44" s="26"/>
      <c r="I44" s="13"/>
      <c r="J44" s="13"/>
      <c r="K44" s="13"/>
      <c r="M44" s="13"/>
    </row>
    <row r="45" spans="1:13">
      <c r="A45"/>
      <c r="I45" s="13"/>
      <c r="J45" s="13"/>
      <c r="K45" s="13"/>
      <c r="M45" s="13"/>
    </row>
    <row r="46" spans="1:13">
      <c r="A46"/>
      <c r="I46" s="13"/>
      <c r="J46" s="13"/>
      <c r="K46" s="13"/>
      <c r="M46" s="13"/>
    </row>
    <row r="47" spans="1:13">
      <c r="A47"/>
      <c r="B47" s="323" t="s">
        <v>279</v>
      </c>
    </row>
    <row r="48" spans="1:13">
      <c r="B48" s="319" t="s">
        <v>34</v>
      </c>
      <c r="C48" s="319"/>
      <c r="D48" s="319"/>
      <c r="E48" s="319"/>
    </row>
    <row r="49" spans="2:2">
      <c r="B49" t="s">
        <v>9</v>
      </c>
    </row>
  </sheetData>
  <sortState xmlns:xlrd2="http://schemas.microsoft.com/office/spreadsheetml/2017/richdata2" ref="A20:G44">
    <sortCondition ref="D20:D44"/>
  </sortState>
  <mergeCells count="4">
    <mergeCell ref="B6:D6"/>
    <mergeCell ref="B19:C19"/>
    <mergeCell ref="L19:M19"/>
    <mergeCell ref="I19:J1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EBF1E-7062-4965-8C69-C7490FE11365}">
  <sheetPr>
    <tabColor rgb="FFCC99FF"/>
  </sheetPr>
  <dimension ref="A1:W56"/>
  <sheetViews>
    <sheetView workbookViewId="0"/>
  </sheetViews>
  <sheetFormatPr defaultRowHeight="15"/>
  <cols>
    <col min="1" max="1" width="6.42578125" customWidth="1"/>
    <col min="2" max="3" width="24.7109375" customWidth="1"/>
    <col min="4" max="4" width="15.5703125" customWidth="1"/>
    <col min="7" max="7" width="9.140625" style="48"/>
    <col min="9" max="9" width="13.85546875" bestFit="1" customWidth="1"/>
    <col min="10" max="10" width="9.140625" style="48"/>
    <col min="11" max="12" width="24.7109375" customWidth="1"/>
    <col min="13" max="13" width="15.5703125" customWidth="1"/>
    <col min="16" max="16" width="9.140625" style="48"/>
    <col min="18" max="18" width="13.85546875" bestFit="1" customWidth="1"/>
    <col min="19" max="19" width="5.85546875" customWidth="1"/>
    <col min="20" max="20" width="41.7109375" customWidth="1"/>
    <col min="21" max="21" width="17.7109375" style="48" customWidth="1"/>
    <col min="22" max="22" width="9.140625" style="48"/>
    <col min="23" max="23" width="50.7109375" customWidth="1"/>
  </cols>
  <sheetData>
    <row r="1" spans="2:22" ht="21">
      <c r="B1" s="24" t="str">
        <f>+Scoring!E4</f>
        <v>Equity Co-Benefit</v>
      </c>
      <c r="C1" s="24"/>
    </row>
    <row r="2" spans="2:22">
      <c r="B2" t="s">
        <v>142</v>
      </c>
      <c r="C2">
        <v>16</v>
      </c>
    </row>
    <row r="3" spans="2:22">
      <c r="B3" t="s">
        <v>111</v>
      </c>
      <c r="C3">
        <f>+'Eval Crit List'!C7</f>
        <v>6.4</v>
      </c>
      <c r="D3" s="83">
        <f>+Scoring!E7</f>
        <v>0.4</v>
      </c>
      <c r="K3" t="s">
        <v>111</v>
      </c>
      <c r="L3">
        <f>+'Eval Crit List'!D7</f>
        <v>3.2</v>
      </c>
      <c r="M3" s="83">
        <f>+Scoring!F7</f>
        <v>0.2</v>
      </c>
      <c r="T3" t="s">
        <v>111</v>
      </c>
      <c r="U3" s="48">
        <f>+'Eval Crit List'!E7</f>
        <v>6.4</v>
      </c>
      <c r="V3" s="83">
        <f>+Scoring!G7</f>
        <v>0.4</v>
      </c>
    </row>
    <row r="4" spans="2:22">
      <c r="B4" t="s">
        <v>131</v>
      </c>
      <c r="C4" s="67">
        <f>MIN(D19:D45)</f>
        <v>0</v>
      </c>
      <c r="K4" t="s">
        <v>131</v>
      </c>
      <c r="L4" s="67">
        <f>MIN(M21:M47)</f>
        <v>-0.1087</v>
      </c>
    </row>
    <row r="5" spans="2:22">
      <c r="B5" t="s">
        <v>132</v>
      </c>
      <c r="C5" s="67">
        <f>MAX(D21:D47)</f>
        <v>15949000000</v>
      </c>
      <c r="K5" t="s">
        <v>132</v>
      </c>
      <c r="L5" s="67">
        <f>MAX(M21:M47)</f>
        <v>0</v>
      </c>
    </row>
    <row r="6" spans="2:22" ht="15.75">
      <c r="B6" s="102" t="s">
        <v>105</v>
      </c>
      <c r="C6" s="53"/>
      <c r="D6" s="54"/>
      <c r="E6" s="54"/>
      <c r="K6" s="102" t="s">
        <v>105</v>
      </c>
      <c r="L6" s="52"/>
      <c r="M6" s="53"/>
      <c r="T6" s="59" t="s">
        <v>106</v>
      </c>
    </row>
    <row r="7" spans="2:22" ht="15.75">
      <c r="B7" s="178" t="s">
        <v>138</v>
      </c>
      <c r="C7" s="179"/>
      <c r="D7" s="180"/>
      <c r="K7" s="178" t="s">
        <v>47</v>
      </c>
      <c r="L7" s="179"/>
      <c r="M7" s="180"/>
      <c r="T7" s="186" t="str">
        <f>+Scoring!G5</f>
        <v>Address Health Inequities</v>
      </c>
      <c r="U7" s="187"/>
    </row>
    <row r="8" spans="2:22">
      <c r="B8" s="75" t="s">
        <v>129</v>
      </c>
      <c r="C8" s="75" t="s">
        <v>130</v>
      </c>
      <c r="D8" s="75" t="s">
        <v>55</v>
      </c>
      <c r="K8" s="75" t="s">
        <v>129</v>
      </c>
      <c r="L8" s="75" t="s">
        <v>130</v>
      </c>
      <c r="M8" s="75" t="s">
        <v>55</v>
      </c>
      <c r="T8" s="85" t="s">
        <v>141</v>
      </c>
      <c r="U8" s="50" t="s">
        <v>55</v>
      </c>
    </row>
    <row r="9" spans="2:22">
      <c r="B9" s="76">
        <v>0</v>
      </c>
      <c r="C9" s="76">
        <f>+I30</f>
        <v>200000000</v>
      </c>
      <c r="D9" s="77">
        <v>1</v>
      </c>
      <c r="K9" s="117">
        <v>0</v>
      </c>
      <c r="L9" s="117">
        <f>+R30</f>
        <v>1.0870000000000001E-2</v>
      </c>
      <c r="M9" s="77">
        <v>1</v>
      </c>
      <c r="T9" s="3" t="s">
        <v>27</v>
      </c>
      <c r="U9" s="26">
        <v>10</v>
      </c>
      <c r="V9" s="100">
        <v>5.34</v>
      </c>
    </row>
    <row r="10" spans="2:22">
      <c r="B10" s="76">
        <f t="shared" ref="B10:B17" si="0">+C9+1</f>
        <v>200000001</v>
      </c>
      <c r="C10" s="76">
        <f>+I29</f>
        <v>500000000</v>
      </c>
      <c r="D10" s="77">
        <v>2</v>
      </c>
      <c r="K10" s="117">
        <f t="shared" ref="K10:K17" si="1">+L9+0.001</f>
        <v>1.1870000000000002E-2</v>
      </c>
      <c r="L10" s="117">
        <f>+R29</f>
        <v>2.1740000000000002E-2</v>
      </c>
      <c r="M10" s="77">
        <v>2</v>
      </c>
      <c r="T10" s="3" t="s">
        <v>139</v>
      </c>
      <c r="U10" s="26">
        <v>8</v>
      </c>
      <c r="V10" s="100">
        <f>0.8*V9</f>
        <v>4.2720000000000002</v>
      </c>
    </row>
    <row r="11" spans="2:22">
      <c r="B11" s="76">
        <f t="shared" si="0"/>
        <v>500000001</v>
      </c>
      <c r="C11" s="76">
        <f>+I28</f>
        <v>1000000000</v>
      </c>
      <c r="D11" s="77">
        <v>3</v>
      </c>
      <c r="K11" s="117">
        <f t="shared" si="1"/>
        <v>2.2740000000000003E-2</v>
      </c>
      <c r="L11" s="117">
        <f>+R28</f>
        <v>3.261E-2</v>
      </c>
      <c r="M11" s="77">
        <v>3</v>
      </c>
      <c r="T11" s="3" t="s">
        <v>147</v>
      </c>
      <c r="U11" s="26">
        <v>6</v>
      </c>
      <c r="V11" s="100">
        <f>0.6*V9</f>
        <v>3.2039999999999997</v>
      </c>
    </row>
    <row r="12" spans="2:22">
      <c r="B12" s="76">
        <f t="shared" si="0"/>
        <v>1000000001</v>
      </c>
      <c r="C12" s="76">
        <f>+I27</f>
        <v>5000000000</v>
      </c>
      <c r="D12" s="77">
        <v>4</v>
      </c>
      <c r="K12" s="117">
        <f t="shared" si="1"/>
        <v>3.3610000000000001E-2</v>
      </c>
      <c r="L12" s="117">
        <f>+R27</f>
        <v>4.3480000000000005E-2</v>
      </c>
      <c r="M12" s="77">
        <v>4</v>
      </c>
      <c r="T12" s="3" t="s">
        <v>140</v>
      </c>
      <c r="U12" s="26">
        <v>4</v>
      </c>
      <c r="V12" s="100">
        <f>0.4*V9</f>
        <v>2.1360000000000001</v>
      </c>
    </row>
    <row r="13" spans="2:22">
      <c r="B13" s="76">
        <f t="shared" si="0"/>
        <v>5000000001</v>
      </c>
      <c r="C13" s="76">
        <f>+I26</f>
        <v>7000000000</v>
      </c>
      <c r="D13" s="77">
        <v>5</v>
      </c>
      <c r="K13" s="117">
        <f t="shared" si="1"/>
        <v>4.4480000000000006E-2</v>
      </c>
      <c r="L13" s="117">
        <f>+R26+0.006</f>
        <v>6.0350000000000001E-2</v>
      </c>
      <c r="M13" s="77">
        <v>5</v>
      </c>
      <c r="T13" s="3" t="s">
        <v>28</v>
      </c>
      <c r="U13" s="26">
        <v>2</v>
      </c>
      <c r="V13" s="100">
        <f>0.2*V9</f>
        <v>1.0680000000000001</v>
      </c>
    </row>
    <row r="14" spans="2:22">
      <c r="B14" s="76">
        <f t="shared" si="0"/>
        <v>7000000001</v>
      </c>
      <c r="C14" s="76">
        <f>+I25</f>
        <v>10000000000</v>
      </c>
      <c r="D14" s="77">
        <v>6</v>
      </c>
      <c r="K14" s="117">
        <f t="shared" si="1"/>
        <v>6.1350000000000002E-2</v>
      </c>
      <c r="L14" s="117">
        <f>+R25</f>
        <v>6.522E-2</v>
      </c>
      <c r="M14" s="77">
        <v>6</v>
      </c>
      <c r="T14" s="3" t="s">
        <v>174</v>
      </c>
      <c r="U14" s="26">
        <v>0</v>
      </c>
      <c r="V14" s="48">
        <v>0</v>
      </c>
    </row>
    <row r="15" spans="2:22">
      <c r="B15" s="76">
        <f t="shared" si="0"/>
        <v>10000000001</v>
      </c>
      <c r="C15" s="76">
        <f>+I24</f>
        <v>12000000000</v>
      </c>
      <c r="D15" s="77">
        <v>7</v>
      </c>
      <c r="K15" s="117">
        <f t="shared" si="1"/>
        <v>6.6220000000000001E-2</v>
      </c>
      <c r="L15" s="117">
        <f>+R24</f>
        <v>7.6090000000000005E-2</v>
      </c>
      <c r="M15" s="77">
        <v>7</v>
      </c>
    </row>
    <row r="16" spans="2:22">
      <c r="B16" s="76">
        <f t="shared" si="0"/>
        <v>12000000001</v>
      </c>
      <c r="C16" s="76">
        <f>+I23</f>
        <v>14000000000</v>
      </c>
      <c r="D16" s="77">
        <v>8</v>
      </c>
      <c r="K16" s="117">
        <f t="shared" si="1"/>
        <v>7.7090000000000006E-2</v>
      </c>
      <c r="L16" s="117">
        <f>+R23+0.003</f>
        <v>8.9960000000000012E-2</v>
      </c>
      <c r="M16" s="77">
        <v>8</v>
      </c>
    </row>
    <row r="17" spans="1:23">
      <c r="B17" s="76">
        <f t="shared" si="0"/>
        <v>14000000001</v>
      </c>
      <c r="C17" s="76">
        <f>+I22</f>
        <v>15000000000</v>
      </c>
      <c r="D17" s="77">
        <v>9</v>
      </c>
      <c r="K17" s="117">
        <f t="shared" si="1"/>
        <v>9.0960000000000013E-2</v>
      </c>
      <c r="L17" s="117">
        <f>+R22</f>
        <v>9.783E-2</v>
      </c>
      <c r="M17" s="77">
        <v>9</v>
      </c>
    </row>
    <row r="18" spans="1:23">
      <c r="B18" s="76">
        <f>+C17+1</f>
        <v>15000000001</v>
      </c>
      <c r="C18" s="76">
        <f>+I21</f>
        <v>16000000000</v>
      </c>
      <c r="D18" s="77">
        <v>10</v>
      </c>
      <c r="K18" s="117">
        <f>+L17+0.001</f>
        <v>9.8830000000000001E-2</v>
      </c>
      <c r="L18" s="117">
        <v>0.16200000000000001</v>
      </c>
      <c r="M18" s="77">
        <v>10</v>
      </c>
    </row>
    <row r="19" spans="1:23">
      <c r="B19" s="4"/>
      <c r="C19" s="4"/>
    </row>
    <row r="20" spans="1:23" ht="60">
      <c r="A20" s="68" t="s">
        <v>61</v>
      </c>
      <c r="B20" s="181" t="s">
        <v>112</v>
      </c>
      <c r="C20" s="182"/>
      <c r="D20" s="58" t="str">
        <f>+Data!N3</f>
        <v>Cumulative Health Benefits</v>
      </c>
      <c r="E20" s="109" t="s">
        <v>208</v>
      </c>
      <c r="F20" s="72" t="s">
        <v>136</v>
      </c>
      <c r="G20" s="91" t="s">
        <v>135</v>
      </c>
      <c r="H20" s="183" t="s">
        <v>134</v>
      </c>
      <c r="I20" s="184"/>
      <c r="J20" s="68" t="s">
        <v>61</v>
      </c>
      <c r="K20" s="181" t="s">
        <v>112</v>
      </c>
      <c r="L20" s="182" t="str">
        <f>+Data!N3</f>
        <v>Cumulative Health Benefits</v>
      </c>
      <c r="M20" s="58" t="str">
        <f>+Data!Q3</f>
        <v>Percentage of Energy Burdened Households</v>
      </c>
      <c r="N20" s="109" t="s">
        <v>210</v>
      </c>
      <c r="O20" s="72" t="s">
        <v>136</v>
      </c>
      <c r="P20" s="91" t="s">
        <v>135</v>
      </c>
      <c r="Q20" s="183" t="s">
        <v>133</v>
      </c>
      <c r="R20" s="188"/>
      <c r="S20" s="86" t="s">
        <v>61</v>
      </c>
      <c r="T20" s="87" t="s">
        <v>112</v>
      </c>
      <c r="U20" s="58" t="s">
        <v>234</v>
      </c>
      <c r="V20" s="88" t="s">
        <v>136</v>
      </c>
      <c r="W20" s="85" t="s">
        <v>250</v>
      </c>
    </row>
    <row r="21" spans="1:23">
      <c r="A21" s="26">
        <f>+Data!A10</f>
        <v>7</v>
      </c>
      <c r="B21" s="3" t="str">
        <f>+Data!B10</f>
        <v>Wz in Existing Res by 2040</v>
      </c>
      <c r="C21" s="3"/>
      <c r="D21" s="62">
        <f>+Data!N10</f>
        <v>15949000000</v>
      </c>
      <c r="E21" s="23">
        <f t="shared" ref="E21:E31" si="2">+D21/$D$21</f>
        <v>1</v>
      </c>
      <c r="F21" s="73">
        <f t="shared" ref="F21:F31" si="3">VLOOKUP(D21,$B$7:$D$18,3,TRUE)</f>
        <v>10</v>
      </c>
      <c r="G21" s="26">
        <v>10</v>
      </c>
      <c r="H21" s="152">
        <v>1</v>
      </c>
      <c r="I21" s="84">
        <v>16000000000</v>
      </c>
      <c r="J21" s="26">
        <f>+Data!A12</f>
        <v>9</v>
      </c>
      <c r="K21" s="3" t="str">
        <f>+Data!B12</f>
        <v>Existing Res buildings 100% HP by 2043</v>
      </c>
      <c r="L21" s="3"/>
      <c r="M21" s="64">
        <f>+Data!Q12-0.162</f>
        <v>-0.1087</v>
      </c>
      <c r="N21" s="23">
        <f t="shared" ref="N21:N45" si="4">+M21/$M$21</f>
        <v>1</v>
      </c>
      <c r="O21" s="73">
        <f t="shared" ref="O21:O45" si="5">VLOOKUP(-M21,$K$9:$M$18,3,TRUE)</f>
        <v>10</v>
      </c>
      <c r="P21" s="26">
        <v>10</v>
      </c>
      <c r="Q21" s="74">
        <v>1</v>
      </c>
      <c r="R21" s="116">
        <f>-M21</f>
        <v>0.1087</v>
      </c>
      <c r="S21" s="14">
        <f>+Data!A4</f>
        <v>1</v>
      </c>
      <c r="T21" s="3" t="str">
        <f>+Data!B4</f>
        <v>Reduced Res Floor Area</v>
      </c>
      <c r="U21" s="26" t="s">
        <v>174</v>
      </c>
      <c r="V21" s="73">
        <f t="shared" ref="V21:V45" si="6">VLOOKUP(U21,$T$9:$U$14,2,FALSE)</f>
        <v>0</v>
      </c>
      <c r="W21" s="3" t="s">
        <v>180</v>
      </c>
    </row>
    <row r="22" spans="1:23">
      <c r="A22" s="26">
        <f>+Data!A12</f>
        <v>9</v>
      </c>
      <c r="B22" s="3" t="str">
        <f>+Data!B12</f>
        <v>Existing Res buildings 100% HP by 2043</v>
      </c>
      <c r="C22" s="3"/>
      <c r="D22" s="62">
        <f>+Data!N12</f>
        <v>14984000000</v>
      </c>
      <c r="E22" s="23">
        <f t="shared" si="2"/>
        <v>0.93949463916232989</v>
      </c>
      <c r="F22" s="73">
        <f t="shared" si="3"/>
        <v>9</v>
      </c>
      <c r="G22" s="26">
        <v>9</v>
      </c>
      <c r="H22" s="103">
        <v>0.9</v>
      </c>
      <c r="I22" s="84">
        <v>15000000000</v>
      </c>
      <c r="J22" s="26">
        <f>+Data!A10</f>
        <v>7</v>
      </c>
      <c r="K22" s="3" t="str">
        <f>+Data!B10</f>
        <v>Wz in Existing Res by 2040</v>
      </c>
      <c r="L22" s="3"/>
      <c r="M22" s="64">
        <f>+Data!Q10-0.162</f>
        <v>-7.0699999999999999E-2</v>
      </c>
      <c r="N22" s="23">
        <f t="shared" si="4"/>
        <v>0.65041398344066237</v>
      </c>
      <c r="O22" s="73">
        <f t="shared" si="5"/>
        <v>7</v>
      </c>
      <c r="P22" s="26">
        <v>7</v>
      </c>
      <c r="Q22" s="3">
        <v>0.9</v>
      </c>
      <c r="R22" s="116">
        <f>+Q22*$R$21</f>
        <v>9.783E-2</v>
      </c>
      <c r="S22" s="14">
        <f>+Data!A5</f>
        <v>2</v>
      </c>
      <c r="T22" s="3" t="str">
        <f>+Data!B5</f>
        <v>Higher Urban Res Density</v>
      </c>
      <c r="U22" s="26" t="s">
        <v>147</v>
      </c>
      <c r="V22" s="73">
        <f t="shared" si="6"/>
        <v>6</v>
      </c>
      <c r="W22" s="3" t="s">
        <v>178</v>
      </c>
    </row>
    <row r="23" spans="1:23">
      <c r="A23" s="26">
        <f>+Data!A8</f>
        <v>5</v>
      </c>
      <c r="B23" s="3" t="str">
        <f>+Data!B8</f>
        <v>100% Elec HP &amp; WH in New Res by 2025</v>
      </c>
      <c r="C23" s="3"/>
      <c r="D23" s="62">
        <f>+Data!N8</f>
        <v>11596000000</v>
      </c>
      <c r="E23" s="23">
        <f t="shared" si="2"/>
        <v>0.72706752774468619</v>
      </c>
      <c r="F23" s="73">
        <f t="shared" si="3"/>
        <v>7</v>
      </c>
      <c r="G23" s="26">
        <v>7</v>
      </c>
      <c r="H23" s="103">
        <v>0.8</v>
      </c>
      <c r="I23" s="84">
        <v>14000000000</v>
      </c>
      <c r="J23" s="26">
        <f>+Data!A8</f>
        <v>5</v>
      </c>
      <c r="K23" s="3" t="str">
        <f>+Data!B8</f>
        <v>100% Elec HP &amp; WH in New Res by 2025</v>
      </c>
      <c r="L23" s="3"/>
      <c r="M23" s="64">
        <f>+Data!Q8-0.162</f>
        <v>-3.4599999999999992E-2</v>
      </c>
      <c r="N23" s="23">
        <f t="shared" si="4"/>
        <v>0.31830726770929152</v>
      </c>
      <c r="O23" s="73">
        <f t="shared" si="5"/>
        <v>4</v>
      </c>
      <c r="P23" s="26">
        <v>4</v>
      </c>
      <c r="Q23" s="3">
        <v>0.8</v>
      </c>
      <c r="R23" s="116">
        <f t="shared" ref="R23:R30" si="7">+Q23*$R$21</f>
        <v>8.696000000000001E-2</v>
      </c>
      <c r="S23" s="14">
        <f>+Data!A6</f>
        <v>3</v>
      </c>
      <c r="T23" s="3" t="str">
        <f>+Data!B6</f>
        <v>Res Code Reduction 60% by 2030</v>
      </c>
      <c r="U23" s="26" t="s">
        <v>27</v>
      </c>
      <c r="V23" s="73">
        <f t="shared" si="6"/>
        <v>10</v>
      </c>
      <c r="W23" s="3" t="s">
        <v>176</v>
      </c>
    </row>
    <row r="24" spans="1:23">
      <c r="A24" s="26">
        <f>+Data!A16</f>
        <v>13</v>
      </c>
      <c r="B24" s="3" t="str">
        <f>+Data!B16</f>
        <v>Non-CPP Ind EE 50% by 2050</v>
      </c>
      <c r="C24" s="3"/>
      <c r="D24" s="62">
        <f>+Data!N16</f>
        <v>9807900000</v>
      </c>
      <c r="E24" s="23">
        <f t="shared" si="2"/>
        <v>0.61495391560599411</v>
      </c>
      <c r="F24" s="73">
        <f t="shared" si="3"/>
        <v>6</v>
      </c>
      <c r="G24" s="26">
        <v>6</v>
      </c>
      <c r="H24" s="103">
        <v>0.7</v>
      </c>
      <c r="I24" s="84">
        <v>12000000000</v>
      </c>
      <c r="J24" s="26">
        <f>+Data!A4</f>
        <v>1</v>
      </c>
      <c r="K24" s="3" t="str">
        <f>+Data!B4</f>
        <v>Reduced Res Floor Area</v>
      </c>
      <c r="L24" s="3"/>
      <c r="M24" s="64">
        <f>+Data!Q4-0.162</f>
        <v>-4.0000000000001146E-4</v>
      </c>
      <c r="N24" s="23">
        <f t="shared" si="4"/>
        <v>3.6798528058878698E-3</v>
      </c>
      <c r="O24" s="73">
        <f t="shared" si="5"/>
        <v>1</v>
      </c>
      <c r="P24" s="26">
        <v>1</v>
      </c>
      <c r="Q24" s="3">
        <v>0.7</v>
      </c>
      <c r="R24" s="116">
        <f t="shared" si="7"/>
        <v>7.6090000000000005E-2</v>
      </c>
      <c r="S24" s="14">
        <f>+Data!A7</f>
        <v>4</v>
      </c>
      <c r="T24" s="3" t="str">
        <f>+Data!B7</f>
        <v>Com Code Reduction 60% by 2030</v>
      </c>
      <c r="U24" s="26" t="s">
        <v>139</v>
      </c>
      <c r="V24" s="73">
        <f t="shared" si="6"/>
        <v>8</v>
      </c>
      <c r="W24" s="3" t="s">
        <v>179</v>
      </c>
    </row>
    <row r="25" spans="1:23">
      <c r="A25" s="26">
        <f>+Data!A6</f>
        <v>3</v>
      </c>
      <c r="B25" s="3" t="str">
        <f>+Data!B6</f>
        <v>Res Code Reduction 60% by 2030</v>
      </c>
      <c r="C25" s="3"/>
      <c r="D25" s="62">
        <f>+Data!N6</f>
        <v>2669000000</v>
      </c>
      <c r="E25" s="23">
        <f t="shared" si="2"/>
        <v>0.16734591510439525</v>
      </c>
      <c r="F25" s="73">
        <f t="shared" si="3"/>
        <v>4</v>
      </c>
      <c r="G25" s="26">
        <v>4</v>
      </c>
      <c r="H25" s="103">
        <v>0.6</v>
      </c>
      <c r="I25" s="84">
        <v>10000000000</v>
      </c>
      <c r="J25" s="26">
        <f>+Data!A5</f>
        <v>2</v>
      </c>
      <c r="K25" s="3" t="str">
        <f>+Data!B5</f>
        <v>Higher Urban Res Density</v>
      </c>
      <c r="L25" s="3"/>
      <c r="M25" s="64">
        <f>+Data!Q5-0.162</f>
        <v>-4.0000000000001146E-4</v>
      </c>
      <c r="N25" s="23">
        <f t="shared" si="4"/>
        <v>3.6798528058878698E-3</v>
      </c>
      <c r="O25" s="73">
        <f t="shared" si="5"/>
        <v>1</v>
      </c>
      <c r="P25" s="26"/>
      <c r="Q25" s="3">
        <v>0.6</v>
      </c>
      <c r="R25" s="116">
        <f t="shared" si="7"/>
        <v>6.522E-2</v>
      </c>
      <c r="S25" s="14">
        <f>+Data!A8</f>
        <v>5</v>
      </c>
      <c r="T25" s="3" t="str">
        <f>+Data!B8</f>
        <v>100% Elec HP &amp; WH in New Res by 2025</v>
      </c>
      <c r="U25" s="26" t="s">
        <v>139</v>
      </c>
      <c r="V25" s="73">
        <f t="shared" si="6"/>
        <v>8</v>
      </c>
      <c r="W25" s="3" t="s">
        <v>176</v>
      </c>
    </row>
    <row r="26" spans="1:23">
      <c r="A26" s="26">
        <f>+Data!A11</f>
        <v>8</v>
      </c>
      <c r="B26" s="3" t="str">
        <f>+Data!B11</f>
        <v>Wz in Existing Com by 2040</v>
      </c>
      <c r="C26" s="3"/>
      <c r="D26" s="62">
        <f>+Data!N11</f>
        <v>2234900000</v>
      </c>
      <c r="E26" s="23">
        <f t="shared" si="2"/>
        <v>0.14012790770581227</v>
      </c>
      <c r="F26" s="73">
        <f t="shared" si="3"/>
        <v>4</v>
      </c>
      <c r="G26" s="26"/>
      <c r="H26" s="103">
        <v>0.5</v>
      </c>
      <c r="I26" s="84">
        <v>7000000000</v>
      </c>
      <c r="J26" s="26">
        <f>+Data!A6</f>
        <v>3</v>
      </c>
      <c r="K26" s="3" t="str">
        <f>+Data!B6</f>
        <v>Res Code Reduction 60% by 2030</v>
      </c>
      <c r="L26" s="3"/>
      <c r="M26" s="64">
        <f>+Data!Q6-0.162</f>
        <v>-4.0000000000001146E-4</v>
      </c>
      <c r="N26" s="23">
        <f t="shared" si="4"/>
        <v>3.6798528058878698E-3</v>
      </c>
      <c r="O26" s="73">
        <f t="shared" si="5"/>
        <v>1</v>
      </c>
      <c r="P26" s="26"/>
      <c r="Q26" s="3">
        <v>0.5</v>
      </c>
      <c r="R26" s="116">
        <f t="shared" si="7"/>
        <v>5.4350000000000002E-2</v>
      </c>
      <c r="S26" s="14">
        <f>+Data!A9</f>
        <v>6</v>
      </c>
      <c r="T26" s="3" t="str">
        <f>+Data!B9</f>
        <v>100% Elec HP &amp; 50% WH in New Com by 2025</v>
      </c>
      <c r="U26" s="26" t="s">
        <v>27</v>
      </c>
      <c r="V26" s="73">
        <f t="shared" si="6"/>
        <v>10</v>
      </c>
      <c r="W26" s="3" t="s">
        <v>176</v>
      </c>
    </row>
    <row r="27" spans="1:23">
      <c r="A27" s="26">
        <f>+Data!A4</f>
        <v>1</v>
      </c>
      <c r="B27" s="3" t="str">
        <f>+Data!B4</f>
        <v>Reduced Res Floor Area</v>
      </c>
      <c r="C27" s="3"/>
      <c r="D27" s="62">
        <f>+Data!N4</f>
        <v>1962900000</v>
      </c>
      <c r="E27" s="23">
        <f t="shared" si="2"/>
        <v>0.12307354693084206</v>
      </c>
      <c r="F27" s="73">
        <f t="shared" si="3"/>
        <v>4</v>
      </c>
      <c r="G27" s="26"/>
      <c r="H27" s="103">
        <v>0.4</v>
      </c>
      <c r="I27" s="84">
        <v>5000000000</v>
      </c>
      <c r="J27" s="26">
        <f>+Data!A7</f>
        <v>4</v>
      </c>
      <c r="K27" s="3" t="str">
        <f>+Data!B7</f>
        <v>Com Code Reduction 60% by 2030</v>
      </c>
      <c r="L27" s="3"/>
      <c r="M27" s="115">
        <f>+Data!Q7</f>
        <v>0</v>
      </c>
      <c r="N27" s="23">
        <f t="shared" si="4"/>
        <v>0</v>
      </c>
      <c r="O27" s="73">
        <f t="shared" si="5"/>
        <v>1</v>
      </c>
      <c r="P27" s="26"/>
      <c r="Q27" s="3">
        <v>0.4</v>
      </c>
      <c r="R27" s="116">
        <f t="shared" si="7"/>
        <v>4.3480000000000005E-2</v>
      </c>
      <c r="S27" s="14">
        <f>+Data!A10</f>
        <v>7</v>
      </c>
      <c r="T27" s="3" t="str">
        <f>+Data!B10</f>
        <v>Wz in Existing Res by 2040</v>
      </c>
      <c r="U27" s="26" t="s">
        <v>27</v>
      </c>
      <c r="V27" s="73">
        <f t="shared" si="6"/>
        <v>10</v>
      </c>
      <c r="W27" s="3" t="s">
        <v>176</v>
      </c>
    </row>
    <row r="28" spans="1:23">
      <c r="A28" s="26">
        <f>+Data!A9</f>
        <v>6</v>
      </c>
      <c r="B28" s="3" t="str">
        <f>+Data!B9</f>
        <v>100% Elec HP &amp; 50% WH in New Com by 2025</v>
      </c>
      <c r="C28" s="3"/>
      <c r="D28" s="62">
        <f>+Data!N9</f>
        <v>1470100000</v>
      </c>
      <c r="E28" s="23">
        <f t="shared" si="2"/>
        <v>9.2175057997366611E-2</v>
      </c>
      <c r="F28" s="73">
        <f t="shared" si="3"/>
        <v>4</v>
      </c>
      <c r="G28" s="26"/>
      <c r="H28" s="103">
        <v>0.3</v>
      </c>
      <c r="I28" s="84">
        <v>1000000000</v>
      </c>
      <c r="J28" s="26">
        <f>+Data!A9</f>
        <v>6</v>
      </c>
      <c r="K28" s="3" t="str">
        <f>+Data!B9</f>
        <v>100% Elec HP &amp; 50% WH in New Com by 2025</v>
      </c>
      <c r="L28" s="3"/>
      <c r="M28" s="115">
        <f>+Data!Q9</f>
        <v>0</v>
      </c>
      <c r="N28" s="23">
        <f t="shared" si="4"/>
        <v>0</v>
      </c>
      <c r="O28" s="73">
        <f t="shared" si="5"/>
        <v>1</v>
      </c>
      <c r="P28" s="26"/>
      <c r="Q28" s="3">
        <v>0.3</v>
      </c>
      <c r="R28" s="116">
        <f t="shared" si="7"/>
        <v>3.261E-2</v>
      </c>
      <c r="S28" s="14">
        <f>+Data!A11</f>
        <v>8</v>
      </c>
      <c r="T28" s="3" t="str">
        <f>+Data!B11</f>
        <v>Wz in Existing Com by 2040</v>
      </c>
      <c r="U28" s="26" t="s">
        <v>139</v>
      </c>
      <c r="V28" s="73">
        <f t="shared" si="6"/>
        <v>8</v>
      </c>
      <c r="W28" s="3" t="s">
        <v>176</v>
      </c>
    </row>
    <row r="29" spans="1:23">
      <c r="A29" s="26">
        <f>+Data!A5</f>
        <v>2</v>
      </c>
      <c r="B29" s="3" t="str">
        <f>+Data!B5</f>
        <v>Higher Urban Res Density</v>
      </c>
      <c r="C29" s="3"/>
      <c r="D29" s="62">
        <f>+Data!N5</f>
        <v>875000000</v>
      </c>
      <c r="E29" s="23">
        <f t="shared" si="2"/>
        <v>5.4862373816540223E-2</v>
      </c>
      <c r="F29" s="73">
        <f t="shared" si="3"/>
        <v>3</v>
      </c>
      <c r="G29" s="26">
        <v>3</v>
      </c>
      <c r="H29" s="103">
        <v>0.2</v>
      </c>
      <c r="I29" s="84">
        <v>500000000</v>
      </c>
      <c r="J29" s="26">
        <f>+Data!A11</f>
        <v>8</v>
      </c>
      <c r="K29" s="3" t="str">
        <f>+Data!B11</f>
        <v>Wz in Existing Com by 2040</v>
      </c>
      <c r="L29" s="3"/>
      <c r="M29" s="115">
        <f>+Data!Q11</f>
        <v>0</v>
      </c>
      <c r="N29" s="23">
        <f t="shared" si="4"/>
        <v>0</v>
      </c>
      <c r="O29" s="73">
        <f t="shared" si="5"/>
        <v>1</v>
      </c>
      <c r="P29" s="26"/>
      <c r="Q29" s="3">
        <v>0.2</v>
      </c>
      <c r="R29" s="116">
        <f t="shared" si="7"/>
        <v>2.1740000000000002E-2</v>
      </c>
      <c r="S29" s="14">
        <f>+Data!A12</f>
        <v>9</v>
      </c>
      <c r="T29" s="3" t="str">
        <f>+Data!B12</f>
        <v>Existing Res buildings 100% HP by 2043</v>
      </c>
      <c r="U29" s="26" t="s">
        <v>27</v>
      </c>
      <c r="V29" s="73">
        <f t="shared" si="6"/>
        <v>10</v>
      </c>
      <c r="W29" s="3" t="s">
        <v>176</v>
      </c>
    </row>
    <row r="30" spans="1:23">
      <c r="A30" s="26">
        <f>+Data!A14</f>
        <v>11</v>
      </c>
      <c r="B30" s="3" t="str">
        <f>+Data!B14</f>
        <v>Existing Com buildings 100% HP by 2043</v>
      </c>
      <c r="C30" s="3"/>
      <c r="D30" s="62">
        <f>+Data!N14</f>
        <v>628380000</v>
      </c>
      <c r="E30" s="23">
        <f t="shared" si="2"/>
        <v>3.9399335381528622E-2</v>
      </c>
      <c r="F30" s="73">
        <f t="shared" si="3"/>
        <v>3</v>
      </c>
      <c r="G30" s="26"/>
      <c r="H30" s="103">
        <v>0.1</v>
      </c>
      <c r="I30" s="84">
        <v>200000000</v>
      </c>
      <c r="J30" s="26">
        <f>+Data!A13</f>
        <v>10</v>
      </c>
      <c r="K30" s="3" t="str">
        <f>+Data!B13</f>
        <v>Existing Res buildings 100% HPWH by 2043</v>
      </c>
      <c r="L30" s="3"/>
      <c r="M30" s="64">
        <f>+Data!Q13</f>
        <v>0</v>
      </c>
      <c r="N30" s="23">
        <f t="shared" si="4"/>
        <v>0</v>
      </c>
      <c r="O30" s="73">
        <f t="shared" si="5"/>
        <v>1</v>
      </c>
      <c r="P30" s="26"/>
      <c r="Q30" s="3">
        <v>0.1</v>
      </c>
      <c r="R30" s="116">
        <f t="shared" si="7"/>
        <v>1.0870000000000001E-2</v>
      </c>
      <c r="S30" s="14">
        <f>+Data!A13</f>
        <v>10</v>
      </c>
      <c r="T30" s="3" t="str">
        <f>+Data!B13</f>
        <v>Existing Res buildings 100% HPWH by 2043</v>
      </c>
      <c r="U30" s="26" t="s">
        <v>27</v>
      </c>
      <c r="V30" s="73">
        <f t="shared" si="6"/>
        <v>10</v>
      </c>
      <c r="W30" s="3" t="s">
        <v>176</v>
      </c>
    </row>
    <row r="31" spans="1:23">
      <c r="A31" s="26">
        <f>+Data!A7</f>
        <v>4</v>
      </c>
      <c r="B31" s="3" t="str">
        <f>+Data!B7</f>
        <v>Com Code Reduction 60% by 2030</v>
      </c>
      <c r="C31" s="3"/>
      <c r="D31" s="62">
        <f>+Data!N7</f>
        <v>550640000</v>
      </c>
      <c r="E31" s="23">
        <f t="shared" si="2"/>
        <v>3.4525048592388238E-2</v>
      </c>
      <c r="F31" s="73">
        <f t="shared" si="3"/>
        <v>3</v>
      </c>
      <c r="G31" s="26"/>
      <c r="J31" s="26">
        <f>+Data!A14</f>
        <v>11</v>
      </c>
      <c r="K31" s="3" t="str">
        <f>+Data!B14</f>
        <v>Existing Com buildings 100% HP by 2043</v>
      </c>
      <c r="L31" s="3"/>
      <c r="M31" s="115">
        <f>+Data!Q14</f>
        <v>0</v>
      </c>
      <c r="N31" s="23">
        <f t="shared" si="4"/>
        <v>0</v>
      </c>
      <c r="O31" s="73">
        <f t="shared" si="5"/>
        <v>1</v>
      </c>
      <c r="P31" s="26"/>
      <c r="S31" s="14">
        <f>+Data!A14</f>
        <v>11</v>
      </c>
      <c r="T31" s="3" t="str">
        <f>+Data!B14</f>
        <v>Existing Com buildings 100% HP by 2043</v>
      </c>
      <c r="U31" s="26" t="s">
        <v>139</v>
      </c>
      <c r="V31" s="73">
        <f t="shared" si="6"/>
        <v>8</v>
      </c>
      <c r="W31" s="3" t="s">
        <v>176</v>
      </c>
    </row>
    <row r="32" spans="1:23">
      <c r="A32" s="26">
        <f>+Data!A25</f>
        <v>22</v>
      </c>
      <c r="B32" s="3" t="str">
        <f>+Data!B25</f>
        <v>Ind RH2 70% by 2050</v>
      </c>
      <c r="C32" s="3"/>
      <c r="D32" s="66" t="str">
        <f>+Data!N25</f>
        <v>low (2)</v>
      </c>
      <c r="E32" s="23"/>
      <c r="F32" s="73">
        <v>2</v>
      </c>
      <c r="G32" s="26">
        <v>2</v>
      </c>
      <c r="J32" s="26">
        <f>+Data!A15</f>
        <v>12</v>
      </c>
      <c r="K32" s="3" t="str">
        <f>+Data!B15</f>
        <v>Existing Com buildings 100% HPWH by 2043</v>
      </c>
      <c r="L32" s="3"/>
      <c r="M32" s="115">
        <f>+Data!Q15</f>
        <v>0</v>
      </c>
      <c r="N32" s="23">
        <f t="shared" si="4"/>
        <v>0</v>
      </c>
      <c r="O32" s="73">
        <f t="shared" si="5"/>
        <v>1</v>
      </c>
      <c r="P32" s="26"/>
      <c r="S32" s="14">
        <f>+Data!A15</f>
        <v>12</v>
      </c>
      <c r="T32" s="3" t="str">
        <f>+Data!B15</f>
        <v>Existing Com buildings 100% HPWH by 2043</v>
      </c>
      <c r="U32" s="26" t="s">
        <v>139</v>
      </c>
      <c r="V32" s="73">
        <f t="shared" si="6"/>
        <v>8</v>
      </c>
      <c r="W32" s="3" t="s">
        <v>176</v>
      </c>
    </row>
    <row r="33" spans="1:23">
      <c r="A33" s="26">
        <f>+Data!A27</f>
        <v>24</v>
      </c>
      <c r="B33" s="3" t="str">
        <f>+Data!B27</f>
        <v>RH2 Injection 15% by 2035</v>
      </c>
      <c r="C33" s="3"/>
      <c r="D33" s="66" t="str">
        <f>+Data!N27</f>
        <v>low (2)</v>
      </c>
      <c r="E33" s="23"/>
      <c r="F33" s="73">
        <v>2</v>
      </c>
      <c r="G33" s="26"/>
      <c r="I33" s="13"/>
      <c r="J33" s="26">
        <f>+Data!A16</f>
        <v>13</v>
      </c>
      <c r="K33" s="3" t="str">
        <f>+Data!B16</f>
        <v>Non-CPP Ind EE 50% by 2050</v>
      </c>
      <c r="L33" s="3"/>
      <c r="M33" s="115">
        <f>+Data!Q16</f>
        <v>0</v>
      </c>
      <c r="N33" s="23">
        <f t="shared" si="4"/>
        <v>0</v>
      </c>
      <c r="O33" s="73">
        <f t="shared" si="5"/>
        <v>1</v>
      </c>
      <c r="P33" s="26"/>
      <c r="S33" s="14">
        <f>+Data!A16</f>
        <v>13</v>
      </c>
      <c r="T33" s="3" t="str">
        <f>+Data!B16</f>
        <v>Non-CPP Ind EE 50% by 2050</v>
      </c>
      <c r="U33" s="26" t="s">
        <v>174</v>
      </c>
      <c r="V33" s="73">
        <f t="shared" si="6"/>
        <v>0</v>
      </c>
      <c r="W33" s="3" t="s">
        <v>181</v>
      </c>
    </row>
    <row r="34" spans="1:23">
      <c r="A34" s="26">
        <f>+Data!A17</f>
        <v>14</v>
      </c>
      <c r="B34" s="3" t="str">
        <f>+Data!B17</f>
        <v>MD/HD Zero Emission Plan</v>
      </c>
      <c r="C34" s="3"/>
      <c r="D34" s="62">
        <f>+Data!N17</f>
        <v>259000000</v>
      </c>
      <c r="E34" s="23">
        <f t="shared" ref="E34:E43" si="8">+D34/$D$21</f>
        <v>1.6239262649695906E-2</v>
      </c>
      <c r="F34" s="73">
        <f t="shared" ref="F34:F45" si="9">VLOOKUP(D34,$B$7:$D$18,3,TRUE)</f>
        <v>2</v>
      </c>
      <c r="G34" s="26"/>
      <c r="J34" s="26">
        <f>+Data!A17</f>
        <v>14</v>
      </c>
      <c r="K34" s="3" t="str">
        <f>+Data!B17</f>
        <v>MD/HD Zero Emission Plan</v>
      </c>
      <c r="L34" s="3"/>
      <c r="M34" s="115">
        <f>+Data!Q17</f>
        <v>0</v>
      </c>
      <c r="N34" s="23">
        <f t="shared" si="4"/>
        <v>0</v>
      </c>
      <c r="O34" s="73">
        <f t="shared" si="5"/>
        <v>1</v>
      </c>
      <c r="P34" s="26"/>
      <c r="S34" s="14">
        <f>+Data!A17</f>
        <v>14</v>
      </c>
      <c r="T34" s="3" t="str">
        <f>+Data!B17</f>
        <v>MD/HD Zero Emission Plan</v>
      </c>
      <c r="U34" s="26" t="s">
        <v>174</v>
      </c>
      <c r="V34" s="73">
        <f t="shared" si="6"/>
        <v>0</v>
      </c>
      <c r="W34" s="3" t="s">
        <v>182</v>
      </c>
    </row>
    <row r="35" spans="1:23">
      <c r="A35" s="26">
        <f>+Data!A13</f>
        <v>10</v>
      </c>
      <c r="B35" s="3" t="str">
        <f>+Data!B13</f>
        <v>Existing Res buildings 100% HPWH by 2043</v>
      </c>
      <c r="C35" s="3"/>
      <c r="D35" s="62">
        <f>+Data!N13</f>
        <v>207000000</v>
      </c>
      <c r="E35" s="23">
        <f t="shared" si="8"/>
        <v>1.2978870148598658E-2</v>
      </c>
      <c r="F35" s="73">
        <f t="shared" si="9"/>
        <v>2</v>
      </c>
      <c r="G35" s="26"/>
      <c r="J35" s="26">
        <f>+Data!A18</f>
        <v>15</v>
      </c>
      <c r="K35" s="3" t="str">
        <f>+Data!B18</f>
        <v>10% Mode Shift MD to LD</v>
      </c>
      <c r="L35" s="3"/>
      <c r="M35" s="115">
        <f>+Data!Q18</f>
        <v>0</v>
      </c>
      <c r="N35" s="23">
        <f t="shared" si="4"/>
        <v>0</v>
      </c>
      <c r="O35" s="73">
        <f t="shared" si="5"/>
        <v>1</v>
      </c>
      <c r="P35" s="26"/>
      <c r="S35" s="14">
        <f>+Data!A18</f>
        <v>15</v>
      </c>
      <c r="T35" s="3" t="str">
        <f>+Data!B18</f>
        <v>10% Mode Shift MD to LD</v>
      </c>
      <c r="U35" s="26" t="s">
        <v>140</v>
      </c>
      <c r="V35" s="73">
        <f t="shared" si="6"/>
        <v>4</v>
      </c>
      <c r="W35" s="3" t="s">
        <v>175</v>
      </c>
    </row>
    <row r="36" spans="1:23">
      <c r="A36" s="26">
        <f>+Data!A28</f>
        <v>25</v>
      </c>
      <c r="B36" s="3" t="str">
        <f>+Data!B28</f>
        <v>Home Fuel Cells 5% by 2030</v>
      </c>
      <c r="C36" s="3"/>
      <c r="D36" s="62">
        <f>+Data!N28</f>
        <v>71000000</v>
      </c>
      <c r="E36" s="23">
        <f t="shared" si="8"/>
        <v>4.4516897611135498E-3</v>
      </c>
      <c r="F36" s="73">
        <f t="shared" si="9"/>
        <v>1</v>
      </c>
      <c r="G36" s="26">
        <v>1</v>
      </c>
      <c r="J36" s="26">
        <f>+Data!A19</f>
        <v>16</v>
      </c>
      <c r="K36" s="3" t="str">
        <f>+Data!B19</f>
        <v>10% Micro-mobility by 2035</v>
      </c>
      <c r="L36" s="3"/>
      <c r="M36" s="115">
        <f>+Data!Q19</f>
        <v>0</v>
      </c>
      <c r="N36" s="23">
        <f t="shared" si="4"/>
        <v>0</v>
      </c>
      <c r="O36" s="73">
        <f t="shared" si="5"/>
        <v>1</v>
      </c>
      <c r="P36" s="26"/>
      <c r="S36" s="14">
        <f>+Data!A19</f>
        <v>16</v>
      </c>
      <c r="T36" s="3" t="str">
        <f>+Data!B19</f>
        <v>10% Micro-mobility by 2035</v>
      </c>
      <c r="U36" s="26" t="s">
        <v>27</v>
      </c>
      <c r="V36" s="73">
        <f t="shared" si="6"/>
        <v>10</v>
      </c>
      <c r="W36" s="3" t="s">
        <v>175</v>
      </c>
    </row>
    <row r="37" spans="1:23">
      <c r="A37" s="26">
        <f>+Data!A20</f>
        <v>17</v>
      </c>
      <c r="B37" s="3" t="str">
        <f>+Data!B20</f>
        <v>Increase Amtrak Ridership</v>
      </c>
      <c r="C37" s="3"/>
      <c r="D37" s="62">
        <f>+Data!N20</f>
        <v>50000000</v>
      </c>
      <c r="E37" s="23">
        <f t="shared" si="8"/>
        <v>3.1349927895165841E-3</v>
      </c>
      <c r="F37" s="73">
        <f t="shared" si="9"/>
        <v>1</v>
      </c>
      <c r="G37" s="26"/>
      <c r="J37" s="26">
        <f>+Data!A20</f>
        <v>17</v>
      </c>
      <c r="K37" s="3" t="str">
        <f>+Data!B20</f>
        <v>Increase Amtrak Ridership</v>
      </c>
      <c r="L37" s="3"/>
      <c r="M37" s="115">
        <f>+Data!Q20</f>
        <v>0</v>
      </c>
      <c r="N37" s="23">
        <f t="shared" si="4"/>
        <v>0</v>
      </c>
      <c r="O37" s="73">
        <f t="shared" si="5"/>
        <v>1</v>
      </c>
      <c r="P37" s="26"/>
      <c r="S37" s="14">
        <f>+Data!A20</f>
        <v>17</v>
      </c>
      <c r="T37" s="3" t="str">
        <f>+Data!B20</f>
        <v>Increase Amtrak Ridership</v>
      </c>
      <c r="U37" s="26" t="s">
        <v>140</v>
      </c>
      <c r="V37" s="73">
        <f t="shared" si="6"/>
        <v>4</v>
      </c>
      <c r="W37" s="3" t="s">
        <v>177</v>
      </c>
    </row>
    <row r="38" spans="1:23">
      <c r="A38" s="26">
        <f>+Data!A21</f>
        <v>18</v>
      </c>
      <c r="B38" s="3" t="str">
        <f>+Data!B21</f>
        <v>Carshare Increases by 2035</v>
      </c>
      <c r="C38" s="3"/>
      <c r="D38" s="62">
        <f>+Data!N21</f>
        <v>45900000</v>
      </c>
      <c r="E38" s="23">
        <f t="shared" si="8"/>
        <v>2.877923380776224E-3</v>
      </c>
      <c r="F38" s="73">
        <f t="shared" si="9"/>
        <v>1</v>
      </c>
      <c r="G38" s="26"/>
      <c r="J38" s="26">
        <f>+Data!A21</f>
        <v>18</v>
      </c>
      <c r="K38" s="3" t="str">
        <f>+Data!B21</f>
        <v>Carshare Increases by 2035</v>
      </c>
      <c r="L38" s="3"/>
      <c r="M38" s="115">
        <f>+Data!Q21</f>
        <v>0</v>
      </c>
      <c r="N38" s="23">
        <f t="shared" si="4"/>
        <v>0</v>
      </c>
      <c r="O38" s="73">
        <f t="shared" si="5"/>
        <v>1</v>
      </c>
      <c r="P38" s="26"/>
      <c r="S38" s="14">
        <f>+Data!A21</f>
        <v>18</v>
      </c>
      <c r="T38" s="3" t="str">
        <f>+Data!B21</f>
        <v>Carshare Increases by 2035</v>
      </c>
      <c r="U38" s="26" t="s">
        <v>28</v>
      </c>
      <c r="V38" s="73">
        <f t="shared" si="6"/>
        <v>2</v>
      </c>
      <c r="W38" s="3" t="s">
        <v>177</v>
      </c>
    </row>
    <row r="39" spans="1:23">
      <c r="A39" s="26">
        <f>+Data!A19</f>
        <v>16</v>
      </c>
      <c r="B39" s="3" t="str">
        <f>+Data!B19</f>
        <v>10% Micro-mobility by 2035</v>
      </c>
      <c r="C39" s="3"/>
      <c r="D39" s="62">
        <f>+Data!N19</f>
        <v>32900000</v>
      </c>
      <c r="E39" s="23">
        <f t="shared" si="8"/>
        <v>2.0628252555019125E-3</v>
      </c>
      <c r="F39" s="73">
        <f t="shared" si="9"/>
        <v>1</v>
      </c>
      <c r="G39" s="26"/>
      <c r="J39" s="26">
        <f>+Data!A22</f>
        <v>19</v>
      </c>
      <c r="K39" s="3" t="str">
        <f>+Data!B22</f>
        <v>Congestion Pricing</v>
      </c>
      <c r="L39" s="3"/>
      <c r="M39" s="115">
        <f>+Data!Q22</f>
        <v>0</v>
      </c>
      <c r="N39" s="23">
        <f t="shared" si="4"/>
        <v>0</v>
      </c>
      <c r="O39" s="73">
        <f t="shared" si="5"/>
        <v>1</v>
      </c>
      <c r="P39" s="26"/>
      <c r="S39" s="14">
        <f>+Data!A22</f>
        <v>19</v>
      </c>
      <c r="T39" s="3" t="str">
        <f>+Data!B22</f>
        <v>Congestion Pricing</v>
      </c>
      <c r="U39" s="26" t="s">
        <v>27</v>
      </c>
      <c r="V39" s="73">
        <f t="shared" si="6"/>
        <v>10</v>
      </c>
      <c r="W39" s="3" t="s">
        <v>175</v>
      </c>
    </row>
    <row r="40" spans="1:23">
      <c r="A40" s="26">
        <f>+Data!A22</f>
        <v>19</v>
      </c>
      <c r="B40" s="3" t="str">
        <f>+Data!B22</f>
        <v>Congestion Pricing</v>
      </c>
      <c r="C40" s="3"/>
      <c r="D40" s="62">
        <f>+Data!N22</f>
        <v>18700000</v>
      </c>
      <c r="E40" s="23">
        <f t="shared" si="8"/>
        <v>1.1724873032792024E-3</v>
      </c>
      <c r="F40" s="73">
        <f t="shared" si="9"/>
        <v>1</v>
      </c>
      <c r="G40" s="26"/>
      <c r="J40" s="26">
        <f>+Data!A23</f>
        <v>20</v>
      </c>
      <c r="K40" s="3" t="str">
        <f>+Data!B23</f>
        <v>Water Systems EE 20% by 2035</v>
      </c>
      <c r="L40" s="3"/>
      <c r="M40" s="115">
        <f>+Data!Q23</f>
        <v>0</v>
      </c>
      <c r="N40" s="23">
        <f t="shared" si="4"/>
        <v>0</v>
      </c>
      <c r="O40" s="73">
        <f t="shared" si="5"/>
        <v>1</v>
      </c>
      <c r="P40" s="26"/>
      <c r="S40" s="14">
        <f>+Data!A23</f>
        <v>20</v>
      </c>
      <c r="T40" s="3" t="str">
        <f>+Data!B23</f>
        <v>Water Systems EE 20% by 2035</v>
      </c>
      <c r="U40" s="26" t="s">
        <v>174</v>
      </c>
      <c r="V40" s="73">
        <f t="shared" si="6"/>
        <v>0</v>
      </c>
      <c r="W40" s="3" t="s">
        <v>248</v>
      </c>
    </row>
    <row r="41" spans="1:23">
      <c r="A41" s="26">
        <f>+Data!A18</f>
        <v>15</v>
      </c>
      <c r="B41" s="3" t="str">
        <f>+Data!B18</f>
        <v>10% Mode Shift MD to LD</v>
      </c>
      <c r="C41" s="3"/>
      <c r="D41" s="62">
        <f>+Data!N18</f>
        <v>16300000</v>
      </c>
      <c r="E41" s="23">
        <f t="shared" si="8"/>
        <v>1.0220076493824065E-3</v>
      </c>
      <c r="F41" s="73">
        <f t="shared" si="9"/>
        <v>1</v>
      </c>
      <c r="G41" s="26"/>
      <c r="J41" s="26">
        <f>+Data!A24</f>
        <v>21</v>
      </c>
      <c r="K41" s="3" t="str">
        <f>+Data!B24</f>
        <v>Food Waste Program</v>
      </c>
      <c r="L41" s="3"/>
      <c r="M41" s="115">
        <f>+Data!Q24</f>
        <v>0</v>
      </c>
      <c r="N41" s="23">
        <f t="shared" si="4"/>
        <v>0</v>
      </c>
      <c r="O41" s="73">
        <f t="shared" si="5"/>
        <v>1</v>
      </c>
      <c r="P41" s="26"/>
      <c r="S41" s="14">
        <f>+Data!A24</f>
        <v>21</v>
      </c>
      <c r="T41" s="3" t="str">
        <f>+Data!B24</f>
        <v>Food Waste Program</v>
      </c>
      <c r="U41" s="26" t="s">
        <v>27</v>
      </c>
      <c r="V41" s="73">
        <f t="shared" si="6"/>
        <v>10</v>
      </c>
      <c r="W41" s="3" t="s">
        <v>261</v>
      </c>
    </row>
    <row r="42" spans="1:23">
      <c r="A42" s="26">
        <f>+Data!A15</f>
        <v>12</v>
      </c>
      <c r="B42" s="3" t="str">
        <f>+Data!B15</f>
        <v>Existing Com buildings 100% HPWH by 2043</v>
      </c>
      <c r="C42" s="3"/>
      <c r="D42" s="62">
        <f>+Data!N15</f>
        <v>13000000</v>
      </c>
      <c r="E42" s="23">
        <f t="shared" si="8"/>
        <v>8.1509812527431186E-4</v>
      </c>
      <c r="F42" s="73">
        <f t="shared" si="9"/>
        <v>1</v>
      </c>
      <c r="G42" s="26"/>
      <c r="J42" s="26">
        <f>+Data!A25</f>
        <v>22</v>
      </c>
      <c r="K42" s="3" t="str">
        <f>+Data!B25</f>
        <v>Ind RH2 70% by 2050</v>
      </c>
      <c r="L42" s="3"/>
      <c r="M42" s="115">
        <f>+Data!Q25</f>
        <v>0</v>
      </c>
      <c r="N42" s="23">
        <f t="shared" si="4"/>
        <v>0</v>
      </c>
      <c r="O42" s="73">
        <f t="shared" si="5"/>
        <v>1</v>
      </c>
      <c r="P42" s="26"/>
      <c r="S42" s="14">
        <f>+Data!A25</f>
        <v>22</v>
      </c>
      <c r="T42" s="3" t="str">
        <f>+Data!B25</f>
        <v>Ind RH2 70% by 2050</v>
      </c>
      <c r="U42" s="26" t="s">
        <v>174</v>
      </c>
      <c r="V42" s="73">
        <f t="shared" si="6"/>
        <v>0</v>
      </c>
      <c r="W42" s="3" t="s">
        <v>249</v>
      </c>
    </row>
    <row r="43" spans="1:23">
      <c r="A43" s="26">
        <f>+Data!A23</f>
        <v>20</v>
      </c>
      <c r="B43" s="3" t="str">
        <f>+Data!B23</f>
        <v>Water Systems EE 20% by 2035</v>
      </c>
      <c r="C43" s="3"/>
      <c r="D43" s="62">
        <f>+Data!N23</f>
        <v>45000</v>
      </c>
      <c r="E43" s="23">
        <f t="shared" si="8"/>
        <v>2.8214935105649256E-6</v>
      </c>
      <c r="F43" s="73">
        <f t="shared" si="9"/>
        <v>1</v>
      </c>
      <c r="G43" s="26"/>
      <c r="J43" s="26">
        <f>+Data!A26</f>
        <v>23</v>
      </c>
      <c r="K43" s="3" t="str">
        <f>+Data!B26</f>
        <v>RNG Full Potential by 2050</v>
      </c>
      <c r="L43" s="3"/>
      <c r="M43" s="115">
        <f>+Data!Q26</f>
        <v>0</v>
      </c>
      <c r="N43" s="23">
        <f t="shared" si="4"/>
        <v>0</v>
      </c>
      <c r="O43" s="73">
        <f t="shared" si="5"/>
        <v>1</v>
      </c>
      <c r="P43" s="26"/>
      <c r="S43" s="14">
        <f>+Data!A26</f>
        <v>23</v>
      </c>
      <c r="T43" s="3" t="str">
        <f>+Data!B26</f>
        <v>RNG Full Potential by 2050</v>
      </c>
      <c r="U43" s="26" t="s">
        <v>174</v>
      </c>
      <c r="V43" s="73">
        <f t="shared" si="6"/>
        <v>0</v>
      </c>
      <c r="W43" s="3" t="s">
        <v>249</v>
      </c>
    </row>
    <row r="44" spans="1:23">
      <c r="A44" s="26">
        <f>+Data!A26</f>
        <v>23</v>
      </c>
      <c r="B44" s="3" t="str">
        <f>+Data!B26</f>
        <v>RNG Full Potential by 2050</v>
      </c>
      <c r="C44" s="3"/>
      <c r="D44" s="66">
        <f>+Data!N26</f>
        <v>0</v>
      </c>
      <c r="E44" s="23"/>
      <c r="F44" s="73">
        <f t="shared" si="9"/>
        <v>1</v>
      </c>
      <c r="G44" s="26"/>
      <c r="J44" s="26">
        <f>+Data!A27</f>
        <v>24</v>
      </c>
      <c r="K44" s="3" t="str">
        <f>+Data!B27</f>
        <v>RH2 Injection 15% by 2035</v>
      </c>
      <c r="L44" s="3"/>
      <c r="M44" s="115">
        <f>+Data!Q27</f>
        <v>0</v>
      </c>
      <c r="N44" s="23">
        <f t="shared" si="4"/>
        <v>0</v>
      </c>
      <c r="O44" s="73">
        <f t="shared" si="5"/>
        <v>1</v>
      </c>
      <c r="P44" s="26"/>
      <c r="S44" s="14">
        <f>+Data!A27</f>
        <v>24</v>
      </c>
      <c r="T44" s="3" t="str">
        <f>+Data!B27</f>
        <v>RH2 Injection 15% by 2035</v>
      </c>
      <c r="U44" s="26" t="s">
        <v>174</v>
      </c>
      <c r="V44" s="73">
        <f t="shared" si="6"/>
        <v>0</v>
      </c>
      <c r="W44" s="3" t="s">
        <v>249</v>
      </c>
    </row>
    <row r="45" spans="1:23">
      <c r="A45" s="26">
        <f>+Data!A24</f>
        <v>21</v>
      </c>
      <c r="B45" s="3" t="str">
        <f>+Data!B24</f>
        <v>Food Waste Program</v>
      </c>
      <c r="C45" s="3"/>
      <c r="D45" s="62">
        <f>+Data!N24</f>
        <v>0</v>
      </c>
      <c r="E45" s="23">
        <f>+D45/$D$21</f>
        <v>0</v>
      </c>
      <c r="F45" s="73">
        <f t="shared" si="9"/>
        <v>1</v>
      </c>
      <c r="G45" s="26"/>
      <c r="J45" s="26">
        <f>+Data!A28</f>
        <v>25</v>
      </c>
      <c r="K45" s="3" t="str">
        <f>+Data!B28</f>
        <v>Home Fuel Cells 5% by 2030</v>
      </c>
      <c r="L45" s="3"/>
      <c r="M45" s="115">
        <f>+Data!Q28</f>
        <v>0</v>
      </c>
      <c r="N45" s="23">
        <f t="shared" si="4"/>
        <v>0</v>
      </c>
      <c r="O45" s="73">
        <f t="shared" si="5"/>
        <v>1</v>
      </c>
      <c r="P45" s="26"/>
      <c r="S45" s="14">
        <f>+Data!A28</f>
        <v>25</v>
      </c>
      <c r="T45" s="3" t="str">
        <f>+Data!B28</f>
        <v>Home Fuel Cells 5% by 2030</v>
      </c>
      <c r="U45" s="26" t="s">
        <v>139</v>
      </c>
      <c r="V45" s="73">
        <f t="shared" si="6"/>
        <v>8</v>
      </c>
      <c r="W45" s="3" t="s">
        <v>176</v>
      </c>
    </row>
    <row r="46" spans="1:23">
      <c r="J46"/>
      <c r="U46"/>
      <c r="V46"/>
    </row>
    <row r="47" spans="1:23">
      <c r="J47"/>
      <c r="U47"/>
      <c r="V47"/>
    </row>
    <row r="48" spans="1:23">
      <c r="A48" s="3">
        <v>22</v>
      </c>
      <c r="B48" s="3" t="s">
        <v>94</v>
      </c>
      <c r="C48" s="3"/>
      <c r="D48" s="154" t="s">
        <v>229</v>
      </c>
      <c r="E48" s="153" t="s">
        <v>262</v>
      </c>
    </row>
    <row r="49" spans="1:23">
      <c r="A49" s="3">
        <v>23</v>
      </c>
      <c r="B49" s="3" t="s">
        <v>96</v>
      </c>
      <c r="C49" s="3"/>
      <c r="D49" s="155">
        <v>0</v>
      </c>
      <c r="E49" s="153" t="s">
        <v>254</v>
      </c>
    </row>
    <row r="50" spans="1:23">
      <c r="A50" s="3">
        <v>24</v>
      </c>
      <c r="B50" s="3" t="s">
        <v>98</v>
      </c>
      <c r="C50" s="3"/>
      <c r="D50" s="154" t="s">
        <v>229</v>
      </c>
      <c r="E50" s="153" t="s">
        <v>266</v>
      </c>
    </row>
    <row r="53" spans="1:23">
      <c r="B53" s="323" t="s">
        <v>279</v>
      </c>
    </row>
    <row r="54" spans="1:23" ht="44.25" customHeight="1">
      <c r="B54" s="317" t="s">
        <v>35</v>
      </c>
      <c r="C54" s="317"/>
      <c r="D54" s="317"/>
      <c r="E54" s="317"/>
      <c r="F54" s="317"/>
      <c r="G54" s="317"/>
      <c r="H54" s="317"/>
      <c r="I54" s="317"/>
      <c r="J54" s="317"/>
      <c r="K54" s="317"/>
      <c r="L54" s="317"/>
      <c r="M54" s="317"/>
      <c r="N54" s="317"/>
      <c r="O54" s="317"/>
      <c r="P54" s="317"/>
      <c r="Q54" s="319"/>
      <c r="R54" s="319"/>
      <c r="S54" s="319"/>
      <c r="T54" s="319"/>
      <c r="U54" s="320"/>
      <c r="V54" s="320"/>
      <c r="W54" s="319"/>
    </row>
    <row r="56" spans="1:23" ht="46.5" customHeight="1">
      <c r="B56" s="322" t="s">
        <v>274</v>
      </c>
      <c r="K56" s="321" t="s">
        <v>311</v>
      </c>
      <c r="L56" s="321"/>
      <c r="M56" s="321"/>
      <c r="N56" s="321"/>
      <c r="O56" s="321"/>
      <c r="P56" s="321"/>
      <c r="Q56" s="321"/>
      <c r="R56" s="321"/>
      <c r="T56" s="322" t="s">
        <v>275</v>
      </c>
    </row>
  </sheetData>
  <sortState xmlns:xlrd2="http://schemas.microsoft.com/office/spreadsheetml/2017/richdata2" ref="A21:F45">
    <sortCondition descending="1" ref="F21:F45"/>
    <sortCondition descending="1" ref="D21:D45"/>
  </sortState>
  <mergeCells count="9">
    <mergeCell ref="B54:P54"/>
    <mergeCell ref="K56:R56"/>
    <mergeCell ref="T7:U7"/>
    <mergeCell ref="B7:D7"/>
    <mergeCell ref="B20:C20"/>
    <mergeCell ref="K7:M7"/>
    <mergeCell ref="K20:L20"/>
    <mergeCell ref="H20:I20"/>
    <mergeCell ref="Q20:R20"/>
  </mergeCells>
  <phoneticPr fontId="5" type="noConversion"/>
  <dataValidations count="1">
    <dataValidation type="list" allowBlank="1" showInputMessage="1" showErrorMessage="1" sqref="U21:U47" xr:uid="{3AB1C3B3-61F6-4F4E-A3DF-6E13F470955B}">
      <formula1>$T$9:$T$14</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B3E49-C524-4078-AFBC-70EA4B219B46}">
  <sheetPr>
    <tabColor rgb="FFCC99FF"/>
  </sheetPr>
  <dimension ref="A1:S55"/>
  <sheetViews>
    <sheetView workbookViewId="0"/>
  </sheetViews>
  <sheetFormatPr defaultRowHeight="15"/>
  <cols>
    <col min="1" max="1" width="6.42578125" customWidth="1"/>
    <col min="2" max="3" width="24.7109375" customWidth="1"/>
    <col min="4" max="4" width="15.5703125" customWidth="1"/>
    <col min="7" max="7" width="9.140625" style="48"/>
    <col min="9" max="9" width="13.85546875" bestFit="1" customWidth="1"/>
    <col min="11" max="11" width="5.85546875" style="48" customWidth="1"/>
    <col min="12" max="12" width="41.7109375" customWidth="1"/>
    <col min="13" max="13" width="17.7109375" customWidth="1"/>
    <col min="15" max="15" width="49.7109375" customWidth="1"/>
  </cols>
  <sheetData>
    <row r="1" spans="2:19" ht="21">
      <c r="B1" s="24" t="s">
        <v>2</v>
      </c>
      <c r="R1" s="15"/>
      <c r="S1" s="15"/>
    </row>
    <row r="2" spans="2:19">
      <c r="B2" t="s">
        <v>142</v>
      </c>
      <c r="C2">
        <f>+'Eval Crit List'!F8</f>
        <v>15</v>
      </c>
    </row>
    <row r="3" spans="2:19">
      <c r="B3" t="s">
        <v>111</v>
      </c>
      <c r="C3">
        <f>+'Eval Crit List'!F7</f>
        <v>7.5</v>
      </c>
      <c r="D3" s="20">
        <v>0.5</v>
      </c>
      <c r="L3" t="s">
        <v>143</v>
      </c>
      <c r="M3">
        <f>+'Eval Crit List'!G7</f>
        <v>7.5</v>
      </c>
      <c r="N3" s="20">
        <v>0.5</v>
      </c>
    </row>
    <row r="4" spans="2:19">
      <c r="B4" t="s">
        <v>131</v>
      </c>
      <c r="C4" s="67">
        <f>MIN(D19:D45)</f>
        <v>0</v>
      </c>
    </row>
    <row r="5" spans="2:19">
      <c r="B5" t="s">
        <v>132</v>
      </c>
      <c r="C5" s="67">
        <f>MAX(D21:D47)</f>
        <v>15949000000</v>
      </c>
    </row>
    <row r="6" spans="2:19" ht="15.75">
      <c r="B6" s="102" t="s">
        <v>105</v>
      </c>
      <c r="C6" s="53"/>
      <c r="D6" s="54"/>
      <c r="E6" s="54"/>
      <c r="L6" s="59" t="s">
        <v>106</v>
      </c>
      <c r="M6" s="48"/>
      <c r="N6" s="48"/>
    </row>
    <row r="7" spans="2:19" ht="15.75">
      <c r="B7" s="178" t="str">
        <f>+Scoring!H5</f>
        <v>Avoided Health Impacts</v>
      </c>
      <c r="C7" s="179"/>
      <c r="D7" s="180"/>
      <c r="L7" s="186" t="str">
        <f>+Scoring!I5</f>
        <v>Reduce Other Health Risks</v>
      </c>
      <c r="M7" s="187"/>
      <c r="N7" s="48"/>
    </row>
    <row r="8" spans="2:19">
      <c r="B8" s="75" t="s">
        <v>129</v>
      </c>
      <c r="C8" s="75" t="s">
        <v>130</v>
      </c>
      <c r="D8" s="75" t="s">
        <v>55</v>
      </c>
      <c r="L8" s="85" t="s">
        <v>141</v>
      </c>
      <c r="M8" s="50" t="s">
        <v>55</v>
      </c>
      <c r="N8" s="48"/>
    </row>
    <row r="9" spans="2:19">
      <c r="B9" s="76">
        <v>0</v>
      </c>
      <c r="C9" s="76">
        <f>+I30</f>
        <v>200000000</v>
      </c>
      <c r="D9" s="77">
        <v>1</v>
      </c>
      <c r="L9" s="3" t="s">
        <v>27</v>
      </c>
      <c r="M9" s="26">
        <v>10</v>
      </c>
      <c r="N9" s="48"/>
    </row>
    <row r="10" spans="2:19">
      <c r="B10" s="76">
        <f t="shared" ref="B10:B17" si="0">+C9+1</f>
        <v>200000001</v>
      </c>
      <c r="C10" s="76">
        <f>+I29</f>
        <v>500000000</v>
      </c>
      <c r="D10" s="77">
        <v>2</v>
      </c>
      <c r="L10" s="3" t="s">
        <v>139</v>
      </c>
      <c r="M10" s="26">
        <v>8</v>
      </c>
      <c r="N10" s="48"/>
    </row>
    <row r="11" spans="2:19">
      <c r="B11" s="76">
        <f t="shared" si="0"/>
        <v>500000001</v>
      </c>
      <c r="C11" s="76">
        <f>+I28</f>
        <v>1000000000</v>
      </c>
      <c r="D11" s="77">
        <v>3</v>
      </c>
      <c r="L11" s="3" t="s">
        <v>147</v>
      </c>
      <c r="M11" s="26">
        <v>6</v>
      </c>
      <c r="N11" s="48"/>
    </row>
    <row r="12" spans="2:19">
      <c r="B12" s="76">
        <f t="shared" si="0"/>
        <v>1000000001</v>
      </c>
      <c r="C12" s="76">
        <f>+I27</f>
        <v>5000000000</v>
      </c>
      <c r="D12" s="77">
        <v>4</v>
      </c>
      <c r="L12" s="3" t="s">
        <v>140</v>
      </c>
      <c r="M12" s="26">
        <v>4</v>
      </c>
      <c r="N12" s="48"/>
    </row>
    <row r="13" spans="2:19">
      <c r="B13" s="76">
        <f t="shared" si="0"/>
        <v>5000000001</v>
      </c>
      <c r="C13" s="76">
        <f>+I26</f>
        <v>7000000000</v>
      </c>
      <c r="D13" s="77">
        <v>5</v>
      </c>
      <c r="L13" s="3" t="s">
        <v>28</v>
      </c>
      <c r="M13" s="26">
        <v>2</v>
      </c>
      <c r="N13" s="48"/>
    </row>
    <row r="14" spans="2:19">
      <c r="B14" s="76">
        <f t="shared" si="0"/>
        <v>7000000001</v>
      </c>
      <c r="C14" s="76">
        <f>+I25</f>
        <v>10000000000</v>
      </c>
      <c r="D14" s="77">
        <v>6</v>
      </c>
      <c r="L14" s="3" t="s">
        <v>174</v>
      </c>
      <c r="M14" s="26">
        <v>0</v>
      </c>
      <c r="N14" s="48"/>
    </row>
    <row r="15" spans="2:19">
      <c r="B15" s="76">
        <f t="shared" si="0"/>
        <v>10000000001</v>
      </c>
      <c r="C15" s="76">
        <f>+I24</f>
        <v>12000000000</v>
      </c>
      <c r="D15" s="77">
        <v>7</v>
      </c>
      <c r="M15" s="48"/>
      <c r="N15" s="48"/>
    </row>
    <row r="16" spans="2:19">
      <c r="B16" s="76">
        <f t="shared" si="0"/>
        <v>12000000001</v>
      </c>
      <c r="C16" s="76">
        <f>+I23</f>
        <v>14000000000</v>
      </c>
      <c r="D16" s="77">
        <v>8</v>
      </c>
      <c r="M16" s="48"/>
      <c r="N16" s="48"/>
    </row>
    <row r="17" spans="1:15">
      <c r="B17" s="76">
        <f t="shared" si="0"/>
        <v>14000000001</v>
      </c>
      <c r="C17" s="76">
        <f>+I22</f>
        <v>15000000000</v>
      </c>
      <c r="D17" s="77">
        <v>9</v>
      </c>
      <c r="M17" s="48"/>
      <c r="N17" s="48"/>
    </row>
    <row r="18" spans="1:15">
      <c r="B18" s="76">
        <f>+C17+1</f>
        <v>15000000001</v>
      </c>
      <c r="C18" s="76">
        <f>+I21</f>
        <v>16000000000</v>
      </c>
      <c r="D18" s="77">
        <v>10</v>
      </c>
      <c r="M18" s="48"/>
      <c r="N18" s="48"/>
    </row>
    <row r="19" spans="1:15">
      <c r="B19" s="4" t="s">
        <v>134</v>
      </c>
      <c r="C19" s="4"/>
      <c r="M19" s="48"/>
      <c r="N19" s="48"/>
    </row>
    <row r="20" spans="1:15" ht="30">
      <c r="A20" s="68" t="s">
        <v>61</v>
      </c>
      <c r="B20" s="181" t="s">
        <v>112</v>
      </c>
      <c r="C20" s="182"/>
      <c r="D20" s="58" t="str">
        <f>+Data!N3</f>
        <v>Cumulative Health Benefits</v>
      </c>
      <c r="E20" s="109" t="s">
        <v>208</v>
      </c>
      <c r="F20" s="72" t="s">
        <v>136</v>
      </c>
      <c r="G20" s="91" t="s">
        <v>135</v>
      </c>
      <c r="H20" s="189" t="s">
        <v>134</v>
      </c>
      <c r="I20" s="189"/>
      <c r="K20" s="86" t="s">
        <v>61</v>
      </c>
      <c r="L20" s="87" t="s">
        <v>112</v>
      </c>
      <c r="M20" s="58" t="s">
        <v>235</v>
      </c>
      <c r="N20" s="88" t="s">
        <v>136</v>
      </c>
      <c r="O20" s="85" t="s">
        <v>250</v>
      </c>
    </row>
    <row r="21" spans="1:15">
      <c r="A21" s="26">
        <f>+Data!A10</f>
        <v>7</v>
      </c>
      <c r="B21" s="3" t="str">
        <f>+Data!B10</f>
        <v>Wz in Existing Res by 2040</v>
      </c>
      <c r="C21" s="3"/>
      <c r="D21" s="62">
        <f>+Data!N10</f>
        <v>15949000000</v>
      </c>
      <c r="E21" s="23">
        <f t="shared" ref="E21:E31" si="1">+D21/$D$21</f>
        <v>1</v>
      </c>
      <c r="F21" s="73">
        <f t="shared" ref="F21:F31" si="2">VLOOKUP(D21,$B$7:$D$18,3,TRUE)</f>
        <v>10</v>
      </c>
      <c r="G21" s="26">
        <v>10</v>
      </c>
      <c r="H21" s="152">
        <v>1</v>
      </c>
      <c r="I21" s="14">
        <f>+'Equity Scoring Bin'!I21</f>
        <v>16000000000</v>
      </c>
      <c r="K21" s="91">
        <f>+Data!A4</f>
        <v>1</v>
      </c>
      <c r="L21" s="3" t="str">
        <f>+Data!B4</f>
        <v>Reduced Res Floor Area</v>
      </c>
      <c r="M21" s="26" t="s">
        <v>174</v>
      </c>
      <c r="N21" s="73">
        <f t="shared" ref="N21:N45" si="3">VLOOKUP(M21,$L$9:$M$14,2,FALSE)</f>
        <v>0</v>
      </c>
      <c r="O21" s="3" t="s">
        <v>180</v>
      </c>
    </row>
    <row r="22" spans="1:15">
      <c r="A22" s="26">
        <f>+Data!A12</f>
        <v>9</v>
      </c>
      <c r="B22" s="3" t="str">
        <f>+Data!B12</f>
        <v>Existing Res buildings 100% HP by 2043</v>
      </c>
      <c r="C22" s="3"/>
      <c r="D22" s="62">
        <f>+Data!N12</f>
        <v>14984000000</v>
      </c>
      <c r="E22" s="23">
        <f t="shared" si="1"/>
        <v>0.93949463916232989</v>
      </c>
      <c r="F22" s="73">
        <f t="shared" si="2"/>
        <v>9</v>
      </c>
      <c r="G22" s="26">
        <v>9</v>
      </c>
      <c r="H22" s="103">
        <v>0.9</v>
      </c>
      <c r="I22" s="14">
        <f>+'Equity Scoring Bin'!I22</f>
        <v>15000000000</v>
      </c>
      <c r="K22" s="91">
        <f>+Data!A5</f>
        <v>2</v>
      </c>
      <c r="L22" s="3" t="str">
        <f>+Data!B5</f>
        <v>Higher Urban Res Density</v>
      </c>
      <c r="M22" s="26" t="s">
        <v>147</v>
      </c>
      <c r="N22" s="73">
        <f t="shared" si="3"/>
        <v>6</v>
      </c>
      <c r="O22" s="3" t="s">
        <v>178</v>
      </c>
    </row>
    <row r="23" spans="1:15">
      <c r="A23" s="26">
        <f>+Data!A8</f>
        <v>5</v>
      </c>
      <c r="B23" s="3" t="str">
        <f>+Data!B8</f>
        <v>100% Elec HP &amp; WH in New Res by 2025</v>
      </c>
      <c r="C23" s="3"/>
      <c r="D23" s="62">
        <f>+Data!N8</f>
        <v>11596000000</v>
      </c>
      <c r="E23" s="23">
        <f t="shared" si="1"/>
        <v>0.72706752774468619</v>
      </c>
      <c r="F23" s="73">
        <f t="shared" si="2"/>
        <v>7</v>
      </c>
      <c r="G23" s="26">
        <v>7</v>
      </c>
      <c r="H23" s="103">
        <v>0.8</v>
      </c>
      <c r="I23" s="14">
        <f>+'Equity Scoring Bin'!I23</f>
        <v>14000000000</v>
      </c>
      <c r="K23" s="91">
        <f>+Data!A6</f>
        <v>3</v>
      </c>
      <c r="L23" s="3" t="str">
        <f>+Data!B6</f>
        <v>Res Code Reduction 60% by 2030</v>
      </c>
      <c r="M23" s="26" t="s">
        <v>27</v>
      </c>
      <c r="N23" s="73">
        <f t="shared" si="3"/>
        <v>10</v>
      </c>
      <c r="O23" s="3" t="s">
        <v>176</v>
      </c>
    </row>
    <row r="24" spans="1:15">
      <c r="A24" s="26">
        <f>+Data!A16</f>
        <v>13</v>
      </c>
      <c r="B24" s="3" t="str">
        <f>+Data!B16</f>
        <v>Non-CPP Ind EE 50% by 2050</v>
      </c>
      <c r="C24" s="3"/>
      <c r="D24" s="62">
        <f>+Data!N16</f>
        <v>9807900000</v>
      </c>
      <c r="E24" s="23">
        <f t="shared" si="1"/>
        <v>0.61495391560599411</v>
      </c>
      <c r="F24" s="73">
        <f t="shared" si="2"/>
        <v>6</v>
      </c>
      <c r="G24" s="26">
        <v>6</v>
      </c>
      <c r="H24" s="103">
        <v>0.7</v>
      </c>
      <c r="I24" s="14">
        <f>+'Equity Scoring Bin'!I24</f>
        <v>12000000000</v>
      </c>
      <c r="K24" s="91">
        <f>+Data!A7</f>
        <v>4</v>
      </c>
      <c r="L24" s="3" t="str">
        <f>+Data!B7</f>
        <v>Com Code Reduction 60% by 2030</v>
      </c>
      <c r="M24" s="26" t="s">
        <v>139</v>
      </c>
      <c r="N24" s="73">
        <f t="shared" si="3"/>
        <v>8</v>
      </c>
      <c r="O24" s="3" t="s">
        <v>179</v>
      </c>
    </row>
    <row r="25" spans="1:15">
      <c r="A25" s="26">
        <f>+Data!A6</f>
        <v>3</v>
      </c>
      <c r="B25" s="3" t="str">
        <f>+Data!B6</f>
        <v>Res Code Reduction 60% by 2030</v>
      </c>
      <c r="C25" s="3"/>
      <c r="D25" s="62">
        <f>+Data!N6</f>
        <v>2669000000</v>
      </c>
      <c r="E25" s="23">
        <f t="shared" si="1"/>
        <v>0.16734591510439525</v>
      </c>
      <c r="F25" s="73">
        <f t="shared" si="2"/>
        <v>4</v>
      </c>
      <c r="G25" s="26">
        <v>4</v>
      </c>
      <c r="H25" s="103">
        <v>0.6</v>
      </c>
      <c r="I25" s="14">
        <f>+'Equity Scoring Bin'!I25</f>
        <v>10000000000</v>
      </c>
      <c r="K25" s="91">
        <f>+Data!A8</f>
        <v>5</v>
      </c>
      <c r="L25" s="3" t="str">
        <f>+Data!B9</f>
        <v>100% Elec HP &amp; 50% WH in New Com by 2025</v>
      </c>
      <c r="M25" s="26" t="s">
        <v>139</v>
      </c>
      <c r="N25" s="73">
        <f t="shared" si="3"/>
        <v>8</v>
      </c>
      <c r="O25" s="3" t="s">
        <v>176</v>
      </c>
    </row>
    <row r="26" spans="1:15">
      <c r="A26" s="26">
        <f>+Data!A11</f>
        <v>8</v>
      </c>
      <c r="B26" s="3" t="str">
        <f>+Data!B11</f>
        <v>Wz in Existing Com by 2040</v>
      </c>
      <c r="C26" s="3"/>
      <c r="D26" s="62">
        <f>+Data!N11</f>
        <v>2234900000</v>
      </c>
      <c r="E26" s="23">
        <f t="shared" si="1"/>
        <v>0.14012790770581227</v>
      </c>
      <c r="F26" s="73">
        <f t="shared" si="2"/>
        <v>4</v>
      </c>
      <c r="G26" s="26"/>
      <c r="H26" s="103">
        <v>0.5</v>
      </c>
      <c r="I26" s="14">
        <f>+'Equity Scoring Bin'!I26</f>
        <v>7000000000</v>
      </c>
      <c r="K26" s="91">
        <f>+Data!A9</f>
        <v>6</v>
      </c>
      <c r="L26" s="3" t="str">
        <f>+Data!B8</f>
        <v>100% Elec HP &amp; WH in New Res by 2025</v>
      </c>
      <c r="M26" s="26" t="s">
        <v>27</v>
      </c>
      <c r="N26" s="73">
        <f t="shared" si="3"/>
        <v>10</v>
      </c>
      <c r="O26" s="3" t="s">
        <v>176</v>
      </c>
    </row>
    <row r="27" spans="1:15">
      <c r="A27" s="26">
        <f>+Data!A4</f>
        <v>1</v>
      </c>
      <c r="B27" s="3" t="str">
        <f>+Data!B4</f>
        <v>Reduced Res Floor Area</v>
      </c>
      <c r="C27" s="3"/>
      <c r="D27" s="62">
        <f>+Data!N4</f>
        <v>1962900000</v>
      </c>
      <c r="E27" s="23">
        <f t="shared" si="1"/>
        <v>0.12307354693084206</v>
      </c>
      <c r="F27" s="73">
        <f t="shared" si="2"/>
        <v>4</v>
      </c>
      <c r="G27" s="26"/>
      <c r="H27" s="103">
        <v>0.4</v>
      </c>
      <c r="I27" s="14">
        <f>+'Equity Scoring Bin'!I27</f>
        <v>5000000000</v>
      </c>
      <c r="K27" s="91">
        <f>+Data!A10</f>
        <v>7</v>
      </c>
      <c r="L27" s="3" t="str">
        <f>+Data!B10</f>
        <v>Wz in Existing Res by 2040</v>
      </c>
      <c r="M27" s="26" t="s">
        <v>27</v>
      </c>
      <c r="N27" s="73">
        <f t="shared" si="3"/>
        <v>10</v>
      </c>
      <c r="O27" s="3" t="s">
        <v>176</v>
      </c>
    </row>
    <row r="28" spans="1:15">
      <c r="A28" s="26">
        <f>+Data!A9</f>
        <v>6</v>
      </c>
      <c r="B28" s="3" t="str">
        <f>+Data!B9</f>
        <v>100% Elec HP &amp; 50% WH in New Com by 2025</v>
      </c>
      <c r="C28" s="3"/>
      <c r="D28" s="62">
        <f>+Data!N9</f>
        <v>1470100000</v>
      </c>
      <c r="E28" s="23">
        <f t="shared" si="1"/>
        <v>9.2175057997366611E-2</v>
      </c>
      <c r="F28" s="73">
        <f t="shared" si="2"/>
        <v>4</v>
      </c>
      <c r="G28" s="26"/>
      <c r="H28" s="103">
        <v>0.3</v>
      </c>
      <c r="I28" s="14">
        <f>+'Equity Scoring Bin'!I28</f>
        <v>1000000000</v>
      </c>
      <c r="K28" s="91">
        <f>+Data!A11</f>
        <v>8</v>
      </c>
      <c r="L28" s="3" t="str">
        <f>+Data!B11</f>
        <v>Wz in Existing Com by 2040</v>
      </c>
      <c r="M28" s="26" t="s">
        <v>139</v>
      </c>
      <c r="N28" s="73">
        <f t="shared" si="3"/>
        <v>8</v>
      </c>
      <c r="O28" s="3" t="s">
        <v>176</v>
      </c>
    </row>
    <row r="29" spans="1:15">
      <c r="A29" s="26">
        <f>+Data!A5</f>
        <v>2</v>
      </c>
      <c r="B29" s="3" t="str">
        <f>+Data!B5</f>
        <v>Higher Urban Res Density</v>
      </c>
      <c r="C29" s="3"/>
      <c r="D29" s="62">
        <f>+Data!N5</f>
        <v>875000000</v>
      </c>
      <c r="E29" s="23">
        <f t="shared" si="1"/>
        <v>5.4862373816540223E-2</v>
      </c>
      <c r="F29" s="73">
        <f t="shared" si="2"/>
        <v>3</v>
      </c>
      <c r="G29" s="26">
        <v>3</v>
      </c>
      <c r="H29" s="103">
        <v>0.2</v>
      </c>
      <c r="I29" s="14">
        <f>+'Equity Scoring Bin'!I29</f>
        <v>500000000</v>
      </c>
      <c r="K29" s="91">
        <f>+Data!A12</f>
        <v>9</v>
      </c>
      <c r="L29" s="3" t="str">
        <f>+Data!B12</f>
        <v>Existing Res buildings 100% HP by 2043</v>
      </c>
      <c r="M29" s="26" t="s">
        <v>27</v>
      </c>
      <c r="N29" s="73">
        <f t="shared" si="3"/>
        <v>10</v>
      </c>
      <c r="O29" s="3" t="s">
        <v>176</v>
      </c>
    </row>
    <row r="30" spans="1:15">
      <c r="A30" s="26">
        <f>+Data!A14</f>
        <v>11</v>
      </c>
      <c r="B30" s="3" t="str">
        <f>+Data!B14</f>
        <v>Existing Com buildings 100% HP by 2043</v>
      </c>
      <c r="C30" s="3"/>
      <c r="D30" s="62">
        <f>+Data!N14</f>
        <v>628380000</v>
      </c>
      <c r="E30" s="23">
        <f t="shared" si="1"/>
        <v>3.9399335381528622E-2</v>
      </c>
      <c r="F30" s="73">
        <f t="shared" si="2"/>
        <v>3</v>
      </c>
      <c r="G30" s="26"/>
      <c r="H30" s="103">
        <v>0.1</v>
      </c>
      <c r="I30" s="14">
        <f>+'Equity Scoring Bin'!I30</f>
        <v>200000000</v>
      </c>
      <c r="K30" s="91">
        <f>+Data!A13</f>
        <v>10</v>
      </c>
      <c r="L30" s="3" t="str">
        <f>+Data!B13</f>
        <v>Existing Res buildings 100% HPWH by 2043</v>
      </c>
      <c r="M30" s="26" t="s">
        <v>27</v>
      </c>
      <c r="N30" s="73">
        <f t="shared" si="3"/>
        <v>10</v>
      </c>
      <c r="O30" s="3" t="s">
        <v>176</v>
      </c>
    </row>
    <row r="31" spans="1:15">
      <c r="A31" s="26">
        <f>+Data!A7</f>
        <v>4</v>
      </c>
      <c r="B31" s="3" t="str">
        <f>+Data!B7</f>
        <v>Com Code Reduction 60% by 2030</v>
      </c>
      <c r="C31" s="3"/>
      <c r="D31" s="62">
        <f>+Data!N7</f>
        <v>550640000</v>
      </c>
      <c r="E31" s="23">
        <f t="shared" si="1"/>
        <v>3.4525048592388238E-2</v>
      </c>
      <c r="F31" s="73">
        <f t="shared" si="2"/>
        <v>3</v>
      </c>
      <c r="G31" s="26"/>
      <c r="K31" s="91">
        <f>+Data!A14</f>
        <v>11</v>
      </c>
      <c r="L31" s="3" t="str">
        <f>+Data!B14</f>
        <v>Existing Com buildings 100% HP by 2043</v>
      </c>
      <c r="M31" s="26" t="s">
        <v>139</v>
      </c>
      <c r="N31" s="73">
        <f t="shared" si="3"/>
        <v>8</v>
      </c>
      <c r="O31" s="3" t="s">
        <v>176</v>
      </c>
    </row>
    <row r="32" spans="1:15">
      <c r="A32" s="26">
        <f>+Data!A25</f>
        <v>22</v>
      </c>
      <c r="B32" s="3" t="str">
        <f>+Data!B25</f>
        <v>Ind RH2 70% by 2050</v>
      </c>
      <c r="C32" s="3"/>
      <c r="D32" s="66" t="str">
        <f>+Data!N25</f>
        <v>low (2)</v>
      </c>
      <c r="E32" s="23"/>
      <c r="F32" s="73">
        <v>2</v>
      </c>
      <c r="G32" s="26">
        <v>2</v>
      </c>
      <c r="K32" s="91">
        <f>+Data!A15</f>
        <v>12</v>
      </c>
      <c r="L32" s="3" t="str">
        <f>+Data!B15</f>
        <v>Existing Com buildings 100% HPWH by 2043</v>
      </c>
      <c r="M32" s="26" t="s">
        <v>139</v>
      </c>
      <c r="N32" s="73">
        <f t="shared" si="3"/>
        <v>8</v>
      </c>
      <c r="O32" s="3" t="s">
        <v>176</v>
      </c>
    </row>
    <row r="33" spans="1:15">
      <c r="A33" s="26">
        <f>+Data!A27</f>
        <v>24</v>
      </c>
      <c r="B33" s="3" t="str">
        <f>+Data!B27</f>
        <v>RH2 Injection 15% by 2035</v>
      </c>
      <c r="C33" s="3"/>
      <c r="D33" s="66" t="str">
        <f>+Data!N27</f>
        <v>low (2)</v>
      </c>
      <c r="E33" s="23"/>
      <c r="F33" s="73">
        <v>2</v>
      </c>
      <c r="G33" s="26"/>
      <c r="K33" s="91">
        <f>+Data!A16</f>
        <v>13</v>
      </c>
      <c r="L33" s="3" t="str">
        <f>+Data!B16</f>
        <v>Non-CPP Ind EE 50% by 2050</v>
      </c>
      <c r="M33" s="26" t="s">
        <v>174</v>
      </c>
      <c r="N33" s="73">
        <f t="shared" si="3"/>
        <v>0</v>
      </c>
      <c r="O33" s="3" t="s">
        <v>181</v>
      </c>
    </row>
    <row r="34" spans="1:15">
      <c r="A34" s="26">
        <f>+Data!A17</f>
        <v>14</v>
      </c>
      <c r="B34" s="3" t="str">
        <f>+Data!B17</f>
        <v>MD/HD Zero Emission Plan</v>
      </c>
      <c r="C34" s="3"/>
      <c r="D34" s="62">
        <f>+Data!N17</f>
        <v>259000000</v>
      </c>
      <c r="E34" s="23">
        <f t="shared" ref="E34:E43" si="4">+D34/$D$21</f>
        <v>1.6239262649695906E-2</v>
      </c>
      <c r="F34" s="73">
        <f>VLOOKUP(D34,$B$7:$D$18,3,TRUE)</f>
        <v>2</v>
      </c>
      <c r="G34" s="26"/>
      <c r="K34" s="91">
        <f>+Data!A17</f>
        <v>14</v>
      </c>
      <c r="L34" s="3" t="str">
        <f>+Data!B17</f>
        <v>MD/HD Zero Emission Plan</v>
      </c>
      <c r="M34" s="26" t="s">
        <v>174</v>
      </c>
      <c r="N34" s="73">
        <f t="shared" si="3"/>
        <v>0</v>
      </c>
      <c r="O34" s="3" t="s">
        <v>182</v>
      </c>
    </row>
    <row r="35" spans="1:15">
      <c r="A35" s="26">
        <f>+Data!A13</f>
        <v>10</v>
      </c>
      <c r="B35" s="3" t="str">
        <f>+Data!B13</f>
        <v>Existing Res buildings 100% HPWH by 2043</v>
      </c>
      <c r="C35" s="3"/>
      <c r="D35" s="62">
        <f>+Data!N13</f>
        <v>207000000</v>
      </c>
      <c r="E35" s="23">
        <f t="shared" si="4"/>
        <v>1.2978870148598658E-2</v>
      </c>
      <c r="F35" s="73">
        <f>VLOOKUP(D35,$B$7:$D$18,3,TRUE)</f>
        <v>2</v>
      </c>
      <c r="G35" s="26"/>
      <c r="K35" s="91">
        <f>+Data!A18</f>
        <v>15</v>
      </c>
      <c r="L35" s="3" t="str">
        <f>+Data!B18</f>
        <v>10% Mode Shift MD to LD</v>
      </c>
      <c r="M35" s="26" t="s">
        <v>140</v>
      </c>
      <c r="N35" s="73">
        <f t="shared" si="3"/>
        <v>4</v>
      </c>
      <c r="O35" s="3" t="s">
        <v>175</v>
      </c>
    </row>
    <row r="36" spans="1:15">
      <c r="A36" s="26">
        <f>+Data!A28</f>
        <v>25</v>
      </c>
      <c r="B36" s="3" t="str">
        <f>+Data!B28</f>
        <v>Home Fuel Cells 5% by 2030</v>
      </c>
      <c r="C36" s="3"/>
      <c r="D36" s="62">
        <f>+Data!N28</f>
        <v>71000000</v>
      </c>
      <c r="E36" s="23">
        <f t="shared" si="4"/>
        <v>4.4516897611135498E-3</v>
      </c>
      <c r="F36" s="73">
        <v>2</v>
      </c>
      <c r="G36" s="26"/>
      <c r="K36" s="91">
        <f>+Data!A19</f>
        <v>16</v>
      </c>
      <c r="L36" s="3" t="str">
        <f>+Data!B19</f>
        <v>10% Micro-mobility by 2035</v>
      </c>
      <c r="M36" s="26" t="s">
        <v>27</v>
      </c>
      <c r="N36" s="73">
        <f t="shared" si="3"/>
        <v>10</v>
      </c>
      <c r="O36" s="3" t="s">
        <v>175</v>
      </c>
    </row>
    <row r="37" spans="1:15">
      <c r="A37" s="26">
        <f>+Data!A23</f>
        <v>20</v>
      </c>
      <c r="B37" s="3" t="str">
        <f>+Data!B23</f>
        <v>Water Systems EE 20% by 2035</v>
      </c>
      <c r="C37" s="3"/>
      <c r="D37" s="62">
        <f>+Data!N23</f>
        <v>45000</v>
      </c>
      <c r="E37" s="23">
        <f t="shared" si="4"/>
        <v>2.8214935105649256E-6</v>
      </c>
      <c r="F37" s="73">
        <v>2</v>
      </c>
      <c r="G37" s="26"/>
      <c r="K37" s="91">
        <f>+Data!A20</f>
        <v>17</v>
      </c>
      <c r="L37" s="3" t="str">
        <f>+Data!B20</f>
        <v>Increase Amtrak Ridership</v>
      </c>
      <c r="M37" s="26" t="s">
        <v>140</v>
      </c>
      <c r="N37" s="73">
        <f t="shared" si="3"/>
        <v>4</v>
      </c>
      <c r="O37" s="3" t="s">
        <v>177</v>
      </c>
    </row>
    <row r="38" spans="1:15">
      <c r="A38" s="26">
        <f>+Data!A20</f>
        <v>17</v>
      </c>
      <c r="B38" s="3" t="str">
        <f>+Data!B20</f>
        <v>Increase Amtrak Ridership</v>
      </c>
      <c r="C38" s="3"/>
      <c r="D38" s="62">
        <f>+Data!N20</f>
        <v>50000000</v>
      </c>
      <c r="E38" s="23">
        <f t="shared" si="4"/>
        <v>3.1349927895165841E-3</v>
      </c>
      <c r="F38" s="73">
        <f t="shared" ref="F38:F45" si="5">VLOOKUP(D38,$B$7:$D$18,3,TRUE)</f>
        <v>1</v>
      </c>
      <c r="G38" s="26">
        <v>1</v>
      </c>
      <c r="K38" s="91">
        <f>+Data!A21</f>
        <v>18</v>
      </c>
      <c r="L38" s="3" t="str">
        <f>+Data!B21</f>
        <v>Carshare Increases by 2035</v>
      </c>
      <c r="M38" s="26" t="s">
        <v>28</v>
      </c>
      <c r="N38" s="73">
        <f t="shared" si="3"/>
        <v>2</v>
      </c>
      <c r="O38" s="3" t="s">
        <v>177</v>
      </c>
    </row>
    <row r="39" spans="1:15">
      <c r="A39" s="26">
        <f>+Data!A21</f>
        <v>18</v>
      </c>
      <c r="B39" s="3" t="str">
        <f>+Data!B21</f>
        <v>Carshare Increases by 2035</v>
      </c>
      <c r="C39" s="3"/>
      <c r="D39" s="62">
        <f>+Data!N21</f>
        <v>45900000</v>
      </c>
      <c r="E39" s="23">
        <f t="shared" si="4"/>
        <v>2.877923380776224E-3</v>
      </c>
      <c r="F39" s="73">
        <f t="shared" si="5"/>
        <v>1</v>
      </c>
      <c r="G39" s="26"/>
      <c r="K39" s="91">
        <f>+Data!A22</f>
        <v>19</v>
      </c>
      <c r="L39" s="3" t="str">
        <f>+Data!B22</f>
        <v>Congestion Pricing</v>
      </c>
      <c r="M39" s="26" t="s">
        <v>27</v>
      </c>
      <c r="N39" s="73">
        <f t="shared" si="3"/>
        <v>10</v>
      </c>
      <c r="O39" s="3" t="s">
        <v>175</v>
      </c>
    </row>
    <row r="40" spans="1:15">
      <c r="A40" s="26">
        <f>+Data!A19</f>
        <v>16</v>
      </c>
      <c r="B40" s="3" t="str">
        <f>+Data!B19</f>
        <v>10% Micro-mobility by 2035</v>
      </c>
      <c r="C40" s="3"/>
      <c r="D40" s="62">
        <f>+Data!N19</f>
        <v>32900000</v>
      </c>
      <c r="E40" s="23">
        <f t="shared" si="4"/>
        <v>2.0628252555019125E-3</v>
      </c>
      <c r="F40" s="73">
        <f t="shared" si="5"/>
        <v>1</v>
      </c>
      <c r="G40" s="26"/>
      <c r="K40" s="91">
        <f>+Data!A23</f>
        <v>20</v>
      </c>
      <c r="L40" s="3" t="str">
        <f>+Data!B23</f>
        <v>Water Systems EE 20% by 2035</v>
      </c>
      <c r="M40" s="26" t="s">
        <v>174</v>
      </c>
      <c r="N40" s="73">
        <f t="shared" si="3"/>
        <v>0</v>
      </c>
      <c r="O40" s="3" t="s">
        <v>248</v>
      </c>
    </row>
    <row r="41" spans="1:15">
      <c r="A41" s="26">
        <f>+Data!A22</f>
        <v>19</v>
      </c>
      <c r="B41" s="3" t="str">
        <f>+Data!B22</f>
        <v>Congestion Pricing</v>
      </c>
      <c r="C41" s="3"/>
      <c r="D41" s="62">
        <f>+Data!N22</f>
        <v>18700000</v>
      </c>
      <c r="E41" s="23">
        <f t="shared" si="4"/>
        <v>1.1724873032792024E-3</v>
      </c>
      <c r="F41" s="73">
        <f t="shared" si="5"/>
        <v>1</v>
      </c>
      <c r="G41" s="26"/>
      <c r="K41" s="91">
        <f>+Data!A24</f>
        <v>21</v>
      </c>
      <c r="L41" s="3" t="str">
        <f>+Data!B24</f>
        <v>Food Waste Program</v>
      </c>
      <c r="M41" s="26" t="s">
        <v>27</v>
      </c>
      <c r="N41" s="73">
        <f t="shared" si="3"/>
        <v>10</v>
      </c>
      <c r="O41" s="3" t="s">
        <v>261</v>
      </c>
    </row>
    <row r="42" spans="1:15">
      <c r="A42" s="26">
        <f>+Data!A18</f>
        <v>15</v>
      </c>
      <c r="B42" s="3" t="str">
        <f>+Data!B18</f>
        <v>10% Mode Shift MD to LD</v>
      </c>
      <c r="C42" s="3"/>
      <c r="D42" s="62">
        <f>+Data!N18</f>
        <v>16300000</v>
      </c>
      <c r="E42" s="23">
        <f t="shared" si="4"/>
        <v>1.0220076493824065E-3</v>
      </c>
      <c r="F42" s="73">
        <f t="shared" si="5"/>
        <v>1</v>
      </c>
      <c r="G42" s="26"/>
      <c r="K42" s="91">
        <f>+Data!A25</f>
        <v>22</v>
      </c>
      <c r="L42" s="3" t="str">
        <f>+Data!B25</f>
        <v>Ind RH2 70% by 2050</v>
      </c>
      <c r="M42" s="26" t="s">
        <v>174</v>
      </c>
      <c r="N42" s="73">
        <f t="shared" si="3"/>
        <v>0</v>
      </c>
      <c r="O42" s="3" t="s">
        <v>249</v>
      </c>
    </row>
    <row r="43" spans="1:15">
      <c r="A43" s="26">
        <f>+Data!A15</f>
        <v>12</v>
      </c>
      <c r="B43" s="3" t="str">
        <f>+Data!B15</f>
        <v>Existing Com buildings 100% HPWH by 2043</v>
      </c>
      <c r="C43" s="3"/>
      <c r="D43" s="62">
        <f>+Data!N15</f>
        <v>13000000</v>
      </c>
      <c r="E43" s="23">
        <f t="shared" si="4"/>
        <v>8.1509812527431186E-4</v>
      </c>
      <c r="F43" s="73">
        <f t="shared" si="5"/>
        <v>1</v>
      </c>
      <c r="G43" s="26"/>
      <c r="K43" s="91">
        <f>+Data!A26</f>
        <v>23</v>
      </c>
      <c r="L43" s="3" t="str">
        <f>+Data!B26</f>
        <v>RNG Full Potential by 2050</v>
      </c>
      <c r="M43" s="26" t="s">
        <v>174</v>
      </c>
      <c r="N43" s="73">
        <f t="shared" si="3"/>
        <v>0</v>
      </c>
      <c r="O43" s="3" t="s">
        <v>249</v>
      </c>
    </row>
    <row r="44" spans="1:15">
      <c r="A44" s="26">
        <f>+Data!A26</f>
        <v>23</v>
      </c>
      <c r="B44" s="3" t="str">
        <f>+Data!B26</f>
        <v>RNG Full Potential by 2050</v>
      </c>
      <c r="C44" s="3"/>
      <c r="D44" s="66">
        <f>+Data!N26</f>
        <v>0</v>
      </c>
      <c r="E44" s="23"/>
      <c r="F44" s="73">
        <f t="shared" si="5"/>
        <v>1</v>
      </c>
      <c r="G44" s="26"/>
      <c r="K44" s="91">
        <f>+Data!A27</f>
        <v>24</v>
      </c>
      <c r="L44" s="3" t="str">
        <f>+Data!B27</f>
        <v>RH2 Injection 15% by 2035</v>
      </c>
      <c r="M44" s="26" t="s">
        <v>174</v>
      </c>
      <c r="N44" s="73">
        <f t="shared" si="3"/>
        <v>0</v>
      </c>
      <c r="O44" s="3" t="s">
        <v>249</v>
      </c>
    </row>
    <row r="45" spans="1:15">
      <c r="A45" s="26">
        <f>+Data!A24</f>
        <v>21</v>
      </c>
      <c r="B45" s="3" t="str">
        <f>+Data!B24</f>
        <v>Food Waste Program</v>
      </c>
      <c r="C45" s="3"/>
      <c r="D45" s="62">
        <f>+Data!N24</f>
        <v>0</v>
      </c>
      <c r="E45" s="23">
        <f>+D45/$D$21</f>
        <v>0</v>
      </c>
      <c r="F45" s="73">
        <f t="shared" si="5"/>
        <v>1</v>
      </c>
      <c r="G45" s="26"/>
      <c r="K45" s="91">
        <f>+Data!A28</f>
        <v>25</v>
      </c>
      <c r="L45" s="3" t="str">
        <f>+Data!B28</f>
        <v>Home Fuel Cells 5% by 2030</v>
      </c>
      <c r="M45" s="26" t="s">
        <v>139</v>
      </c>
      <c r="N45" s="73">
        <f t="shared" si="3"/>
        <v>8</v>
      </c>
      <c r="O45" s="3" t="s">
        <v>176</v>
      </c>
    </row>
    <row r="46" spans="1:15">
      <c r="K46"/>
    </row>
    <row r="47" spans="1:15">
      <c r="K47"/>
    </row>
    <row r="48" spans="1:15">
      <c r="A48" s="3">
        <v>22</v>
      </c>
      <c r="B48" s="3" t="s">
        <v>94</v>
      </c>
      <c r="C48" s="3"/>
      <c r="D48" s="154" t="s">
        <v>229</v>
      </c>
      <c r="E48" s="153" t="s">
        <v>262</v>
      </c>
      <c r="K48"/>
    </row>
    <row r="49" spans="1:15">
      <c r="A49" s="3">
        <v>23</v>
      </c>
      <c r="B49" s="3" t="s">
        <v>96</v>
      </c>
      <c r="C49" s="3"/>
      <c r="D49" s="155">
        <v>0</v>
      </c>
      <c r="E49" s="153" t="s">
        <v>254</v>
      </c>
    </row>
    <row r="50" spans="1:15">
      <c r="A50" s="3">
        <v>24</v>
      </c>
      <c r="B50" s="3" t="s">
        <v>98</v>
      </c>
      <c r="C50" s="3"/>
      <c r="D50" s="154" t="s">
        <v>229</v>
      </c>
      <c r="E50" s="153" t="s">
        <v>267</v>
      </c>
    </row>
    <row r="51" spans="1:15">
      <c r="A51" s="324"/>
      <c r="B51" s="324"/>
      <c r="C51" s="324"/>
      <c r="D51" s="153"/>
      <c r="E51" s="153"/>
    </row>
    <row r="52" spans="1:15">
      <c r="A52" s="324"/>
      <c r="B52" s="324"/>
      <c r="C52" s="324"/>
      <c r="D52" s="153"/>
      <c r="E52" s="153"/>
    </row>
    <row r="53" spans="1:15">
      <c r="B53" s="323" t="s">
        <v>279</v>
      </c>
    </row>
    <row r="54" spans="1:15">
      <c r="B54" s="319" t="s">
        <v>15</v>
      </c>
      <c r="C54" s="319"/>
    </row>
    <row r="55" spans="1:15" ht="93" customHeight="1">
      <c r="B55" s="321" t="s">
        <v>276</v>
      </c>
      <c r="C55" s="321"/>
      <c r="D55" s="321"/>
      <c r="E55" s="321"/>
      <c r="F55" s="321"/>
      <c r="G55" s="321"/>
      <c r="H55" s="321"/>
      <c r="I55" s="321"/>
      <c r="L55" s="321" t="s">
        <v>277</v>
      </c>
      <c r="M55" s="321"/>
      <c r="N55" s="321"/>
      <c r="O55" s="321"/>
    </row>
  </sheetData>
  <sortState xmlns:xlrd2="http://schemas.microsoft.com/office/spreadsheetml/2017/richdata2" ref="A21:F45">
    <sortCondition descending="1" ref="F21:F45"/>
    <sortCondition descending="1" ref="D21:D45"/>
  </sortState>
  <mergeCells count="6">
    <mergeCell ref="B7:D7"/>
    <mergeCell ref="B20:C20"/>
    <mergeCell ref="H20:I20"/>
    <mergeCell ref="L7:M7"/>
    <mergeCell ref="L55:O55"/>
    <mergeCell ref="B55:I55"/>
  </mergeCells>
  <dataValidations disablePrompts="1" count="1">
    <dataValidation type="list" allowBlank="1" showInputMessage="1" showErrorMessage="1" sqref="M21:M47" xr:uid="{87C9B83D-3779-43BC-8C0B-695D1AC07477}">
      <formula1>$L$9:$L$14</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90ACA-1A7E-49C7-BF11-C431F09CF529}">
  <sheetPr>
    <tabColor rgb="FFCC99FF"/>
  </sheetPr>
  <dimension ref="A1:V55"/>
  <sheetViews>
    <sheetView workbookViewId="0"/>
  </sheetViews>
  <sheetFormatPr defaultRowHeight="15"/>
  <cols>
    <col min="1" max="1" width="4.42578125" customWidth="1"/>
    <col min="2" max="3" width="20.7109375" customWidth="1"/>
    <col min="4" max="4" width="13.85546875" customWidth="1"/>
    <col min="5" max="5" width="12.140625" customWidth="1"/>
    <col min="8" max="8" width="9.140625" style="48"/>
    <col min="9" max="9" width="6.7109375" customWidth="1"/>
    <col min="10" max="10" width="12" customWidth="1"/>
    <col min="11" max="11" width="4.42578125" customWidth="1"/>
    <col min="12" max="13" width="20.7109375" customWidth="1"/>
    <col min="14" max="14" width="16.5703125" customWidth="1"/>
    <col min="15" max="15" width="15.5703125" customWidth="1"/>
    <col min="18" max="18" width="9.140625" style="48"/>
    <col min="19" max="19" width="6.5703125" customWidth="1"/>
    <col min="20" max="20" width="15.28515625" customWidth="1"/>
    <col min="21" max="21" width="7.42578125" customWidth="1"/>
    <col min="22" max="22" width="14.5703125" customWidth="1"/>
  </cols>
  <sheetData>
    <row r="1" spans="2:16" ht="21">
      <c r="B1" s="24" t="s">
        <v>3</v>
      </c>
    </row>
    <row r="2" spans="2:16">
      <c r="B2" t="s">
        <v>144</v>
      </c>
      <c r="C2">
        <f>+'Eval Crit List'!H8</f>
        <v>14</v>
      </c>
      <c r="L2" s="15" t="s">
        <v>12</v>
      </c>
    </row>
    <row r="3" spans="2:16">
      <c r="B3" t="s">
        <v>111</v>
      </c>
      <c r="C3">
        <f>+'Eval Crit List'!H7</f>
        <v>7</v>
      </c>
      <c r="I3" s="15"/>
      <c r="L3" s="15" t="s">
        <v>11</v>
      </c>
      <c r="M3">
        <f>+'Eval Crit List'!I7</f>
        <v>7</v>
      </c>
    </row>
    <row r="4" spans="2:16">
      <c r="B4" t="s">
        <v>131</v>
      </c>
      <c r="C4" s="67">
        <f>MIN(D21:D49)</f>
        <v>-149677</v>
      </c>
      <c r="F4" s="13"/>
      <c r="L4" t="s">
        <v>131</v>
      </c>
      <c r="M4" s="67">
        <f>MIN(N21:N47)</f>
        <v>-52000000000</v>
      </c>
      <c r="P4" s="13"/>
    </row>
    <row r="5" spans="2:16">
      <c r="B5" t="s">
        <v>132</v>
      </c>
      <c r="C5" s="67">
        <f>MAX(D21:D49)</f>
        <v>168357</v>
      </c>
      <c r="F5" s="13"/>
      <c r="L5" t="s">
        <v>132</v>
      </c>
      <c r="M5" s="67">
        <f>MAX(N21:N47)</f>
        <v>7400000000</v>
      </c>
      <c r="P5" s="13"/>
    </row>
    <row r="6" spans="2:16" ht="15.75">
      <c r="B6" s="102" t="s">
        <v>105</v>
      </c>
      <c r="C6" s="67"/>
      <c r="F6" s="13"/>
      <c r="L6" s="102" t="s">
        <v>105</v>
      </c>
      <c r="M6" s="67"/>
      <c r="P6" s="13"/>
    </row>
    <row r="7" spans="2:16">
      <c r="B7" s="178" t="str">
        <f>+Data!O3</f>
        <v>Cumulative Number of Job Years</v>
      </c>
      <c r="C7" s="179"/>
      <c r="D7" s="180"/>
      <c r="L7" s="178" t="str">
        <f>+Data!P3</f>
        <v>Cumulative Energy &amp; Transportation Savings</v>
      </c>
      <c r="M7" s="179"/>
      <c r="N7" s="180"/>
    </row>
    <row r="8" spans="2:16">
      <c r="B8" s="75" t="s">
        <v>129</v>
      </c>
      <c r="C8" s="75" t="s">
        <v>130</v>
      </c>
      <c r="D8" s="75" t="s">
        <v>55</v>
      </c>
      <c r="L8" s="75" t="s">
        <v>129</v>
      </c>
      <c r="M8" s="75" t="s">
        <v>130</v>
      </c>
      <c r="N8" s="75" t="s">
        <v>55</v>
      </c>
    </row>
    <row r="9" spans="2:16">
      <c r="B9" s="76">
        <v>-150000</v>
      </c>
      <c r="C9" s="76">
        <f t="shared" ref="C9:C13" si="0">+B10-1</f>
        <v>-20001</v>
      </c>
      <c r="D9" s="77">
        <v>1</v>
      </c>
      <c r="E9" s="20"/>
      <c r="F9" s="16"/>
      <c r="L9" s="76">
        <v>0</v>
      </c>
      <c r="M9" s="76">
        <f>+T30</f>
        <v>5000000000</v>
      </c>
      <c r="N9" s="77">
        <v>1</v>
      </c>
      <c r="O9" s="20"/>
      <c r="P9" s="16"/>
    </row>
    <row r="10" spans="2:16">
      <c r="B10" s="76">
        <v>-20000</v>
      </c>
      <c r="C10" s="76">
        <f t="shared" si="0"/>
        <v>-1</v>
      </c>
      <c r="D10" s="77">
        <v>2</v>
      </c>
      <c r="E10" s="20"/>
      <c r="F10" s="16"/>
      <c r="L10" s="76">
        <f t="shared" ref="L10:L17" si="1">+M9+1</f>
        <v>5000000001</v>
      </c>
      <c r="M10" s="76">
        <f>+T29</f>
        <v>40000000000</v>
      </c>
      <c r="N10" s="77">
        <v>2</v>
      </c>
      <c r="O10" s="20"/>
      <c r="P10" s="16"/>
    </row>
    <row r="11" spans="2:16">
      <c r="B11" s="76">
        <v>0</v>
      </c>
      <c r="C11" s="76">
        <v>0</v>
      </c>
      <c r="D11" s="77">
        <v>3</v>
      </c>
      <c r="E11" s="20"/>
      <c r="F11" s="16"/>
      <c r="L11" s="76">
        <f t="shared" si="1"/>
        <v>40000000001</v>
      </c>
      <c r="M11" s="76">
        <f>+T28</f>
        <v>50000000000</v>
      </c>
      <c r="N11" s="77">
        <v>3</v>
      </c>
      <c r="O11" s="20"/>
      <c r="P11" s="16"/>
    </row>
    <row r="12" spans="2:16">
      <c r="B12" s="76">
        <v>0</v>
      </c>
      <c r="C12" s="76">
        <f t="shared" si="0"/>
        <v>17999</v>
      </c>
      <c r="D12" s="77">
        <v>4</v>
      </c>
      <c r="E12" s="20"/>
      <c r="F12" s="16"/>
      <c r="L12" s="76">
        <f t="shared" si="1"/>
        <v>50000000001</v>
      </c>
      <c r="M12" s="76">
        <f>+T27</f>
        <v>51600000000</v>
      </c>
      <c r="N12" s="77">
        <v>4</v>
      </c>
      <c r="O12" s="20"/>
      <c r="P12" s="16"/>
    </row>
    <row r="13" spans="2:16">
      <c r="B13" s="76">
        <v>18000</v>
      </c>
      <c r="C13" s="76">
        <f t="shared" si="0"/>
        <v>29999</v>
      </c>
      <c r="D13" s="77">
        <v>5</v>
      </c>
      <c r="E13" s="20"/>
      <c r="F13" s="16"/>
      <c r="L13" s="76">
        <f t="shared" si="1"/>
        <v>51600000001</v>
      </c>
      <c r="M13" s="76">
        <f>+T26</f>
        <v>52000000000</v>
      </c>
      <c r="N13" s="77">
        <v>5</v>
      </c>
      <c r="O13" s="20"/>
      <c r="P13" s="16"/>
    </row>
    <row r="14" spans="2:16">
      <c r="B14" s="76">
        <v>30000</v>
      </c>
      <c r="C14" s="76">
        <f>+B15-1</f>
        <v>69999</v>
      </c>
      <c r="D14" s="77">
        <v>6</v>
      </c>
      <c r="E14" s="20"/>
      <c r="F14" s="16"/>
      <c r="L14" s="76">
        <f t="shared" si="1"/>
        <v>52000000001</v>
      </c>
      <c r="M14" s="76">
        <f>+T25</f>
        <v>52500000000</v>
      </c>
      <c r="N14" s="77">
        <v>6</v>
      </c>
      <c r="O14" s="20"/>
      <c r="P14" s="16"/>
    </row>
    <row r="15" spans="2:16">
      <c r="B15" s="76">
        <v>70000</v>
      </c>
      <c r="C15" s="76">
        <f t="shared" ref="C15:C17" si="2">+B16-1</f>
        <v>99999</v>
      </c>
      <c r="D15" s="77">
        <v>7</v>
      </c>
      <c r="E15" s="20"/>
      <c r="F15" s="16"/>
      <c r="L15" s="76">
        <f t="shared" si="1"/>
        <v>52500000001</v>
      </c>
      <c r="M15" s="76">
        <f>+T24</f>
        <v>53000000000</v>
      </c>
      <c r="N15" s="77">
        <v>7</v>
      </c>
      <c r="O15" s="20"/>
      <c r="P15" s="16"/>
    </row>
    <row r="16" spans="2:16">
      <c r="B16" s="76">
        <v>100000</v>
      </c>
      <c r="C16" s="76">
        <f t="shared" si="2"/>
        <v>129999</v>
      </c>
      <c r="D16" s="77">
        <v>8</v>
      </c>
      <c r="E16" s="20"/>
      <c r="F16" s="16"/>
      <c r="L16" s="76">
        <f t="shared" si="1"/>
        <v>53000000001</v>
      </c>
      <c r="M16" s="76">
        <f>+T23</f>
        <v>55000000000</v>
      </c>
      <c r="N16" s="77">
        <v>8</v>
      </c>
      <c r="O16" s="20"/>
      <c r="P16" s="16"/>
    </row>
    <row r="17" spans="1:22">
      <c r="B17" s="76">
        <v>130000</v>
      </c>
      <c r="C17" s="76">
        <f t="shared" si="2"/>
        <v>149999</v>
      </c>
      <c r="D17" s="77">
        <v>9</v>
      </c>
      <c r="E17" s="20"/>
      <c r="F17" s="16"/>
      <c r="L17" s="76">
        <f t="shared" si="1"/>
        <v>55000000001</v>
      </c>
      <c r="M17" s="76">
        <f>+T22</f>
        <v>58000000000</v>
      </c>
      <c r="N17" s="77">
        <v>9</v>
      </c>
      <c r="O17" s="20"/>
      <c r="P17" s="16"/>
    </row>
    <row r="18" spans="1:22">
      <c r="A18" s="1"/>
      <c r="B18" s="76">
        <v>150000</v>
      </c>
      <c r="C18" s="76">
        <v>170000</v>
      </c>
      <c r="D18" s="77">
        <v>10</v>
      </c>
      <c r="E18" s="20"/>
      <c r="G18" s="1"/>
      <c r="H18" s="108"/>
      <c r="I18" s="1"/>
      <c r="J18" s="1"/>
      <c r="K18" s="1"/>
      <c r="L18" s="76">
        <f>+M17+1</f>
        <v>58000000001</v>
      </c>
      <c r="M18" s="76">
        <f>+T21</f>
        <v>60000000000</v>
      </c>
      <c r="N18" s="77">
        <v>10</v>
      </c>
      <c r="O18" s="20"/>
      <c r="Q18" s="1"/>
      <c r="R18" s="108"/>
      <c r="S18" s="1"/>
      <c r="T18" s="1"/>
      <c r="U18" s="1"/>
      <c r="V18" s="1"/>
    </row>
    <row r="19" spans="1:22" ht="16.5" customHeight="1">
      <c r="A19" s="1"/>
      <c r="B19" s="1" t="s">
        <v>134</v>
      </c>
      <c r="C19" s="1"/>
      <c r="D19" s="1"/>
      <c r="E19" s="20"/>
      <c r="G19" s="1"/>
      <c r="H19" s="108"/>
      <c r="I19" s="1"/>
      <c r="J19" s="1"/>
      <c r="K19" s="1"/>
      <c r="L19" s="1"/>
      <c r="M19" s="1"/>
      <c r="N19" s="1"/>
      <c r="O19" s="20"/>
      <c r="Q19" s="1"/>
      <c r="R19" s="108"/>
      <c r="S19" s="1"/>
      <c r="T19" s="1"/>
      <c r="U19" s="1"/>
      <c r="V19" s="1"/>
    </row>
    <row r="20" spans="1:22" ht="60">
      <c r="A20" s="58" t="s">
        <v>61</v>
      </c>
      <c r="B20" s="185" t="s">
        <v>112</v>
      </c>
      <c r="C20" s="185"/>
      <c r="D20" s="79" t="str">
        <f>+Data!O3</f>
        <v>Cumulative Number of Job Years</v>
      </c>
      <c r="E20" s="109" t="s">
        <v>207</v>
      </c>
      <c r="F20" s="109" t="s">
        <v>208</v>
      </c>
      <c r="G20" s="72" t="s">
        <v>136</v>
      </c>
      <c r="H20" s="91" t="s">
        <v>135</v>
      </c>
      <c r="I20" s="188" t="s">
        <v>133</v>
      </c>
      <c r="J20" s="184"/>
      <c r="K20" s="58" t="s">
        <v>61</v>
      </c>
      <c r="L20" s="185" t="s">
        <v>112</v>
      </c>
      <c r="M20" s="185"/>
      <c r="N20" s="79" t="str">
        <f>+Data!P3</f>
        <v>Cumulative Energy &amp; Transportation Savings</v>
      </c>
      <c r="O20" s="109" t="s">
        <v>207</v>
      </c>
      <c r="P20" s="109" t="s">
        <v>208</v>
      </c>
      <c r="Q20" s="72" t="s">
        <v>136</v>
      </c>
      <c r="R20" s="91" t="s">
        <v>135</v>
      </c>
      <c r="S20" s="183" t="s">
        <v>134</v>
      </c>
      <c r="T20" s="184"/>
      <c r="U20" s="183" t="s">
        <v>133</v>
      </c>
      <c r="V20" s="184"/>
    </row>
    <row r="21" spans="1:22">
      <c r="A21" s="26">
        <f>+Data!A10</f>
        <v>7</v>
      </c>
      <c r="B21" s="3" t="str">
        <f>+Data!B10</f>
        <v>Wz in Existing Res by 2040</v>
      </c>
      <c r="C21" s="3"/>
      <c r="D21" s="63">
        <f>+Data!O10</f>
        <v>168357</v>
      </c>
      <c r="E21" s="90">
        <f>+D21-$D$45</f>
        <v>318034</v>
      </c>
      <c r="F21" s="23">
        <f>+E21/$E$21</f>
        <v>1</v>
      </c>
      <c r="G21" s="73">
        <f>VLOOKUP(D21,$B$8:$D$18,3,TRUE)</f>
        <v>10</v>
      </c>
      <c r="H21" s="26">
        <v>10</v>
      </c>
      <c r="I21" s="152">
        <v>1</v>
      </c>
      <c r="J21" s="14">
        <v>320000</v>
      </c>
      <c r="K21" s="26">
        <f>+Data!A12</f>
        <v>9</v>
      </c>
      <c r="L21" s="3" t="str">
        <f>+Data!B12</f>
        <v>Existing Res buildings 100% HP by 2043</v>
      </c>
      <c r="M21" s="3"/>
      <c r="N21" s="62">
        <f>+Data!P12</f>
        <v>7400000000</v>
      </c>
      <c r="O21" s="90">
        <f>N21-$N$45</f>
        <v>59400000000</v>
      </c>
      <c r="P21" s="23">
        <f t="shared" ref="P21:P45" si="3">+O21/$O$21</f>
        <v>1</v>
      </c>
      <c r="Q21" s="73">
        <f t="shared" ref="Q21:Q45" si="4">VLOOKUP(O21,$L$9:$N$18,3,TRUE)</f>
        <v>10</v>
      </c>
      <c r="R21" s="26">
        <v>10</v>
      </c>
      <c r="S21" s="81">
        <v>10</v>
      </c>
      <c r="T21" s="14">
        <v>60000000000</v>
      </c>
      <c r="U21" s="74">
        <v>1</v>
      </c>
      <c r="V21" s="14">
        <f>+O21</f>
        <v>59400000000</v>
      </c>
    </row>
    <row r="22" spans="1:22">
      <c r="A22" s="26">
        <f>+Data!A11</f>
        <v>8</v>
      </c>
      <c r="B22" s="3" t="str">
        <f>+Data!B11</f>
        <v>Wz in Existing Com by 2040</v>
      </c>
      <c r="C22" s="3"/>
      <c r="D22" s="63">
        <f>+Data!O11</f>
        <v>122917</v>
      </c>
      <c r="E22" s="90">
        <f>+D22-$D$45</f>
        <v>272594</v>
      </c>
      <c r="F22" s="23">
        <f t="shared" ref="F22:F45" si="5">+E22/$E$21</f>
        <v>0.85712219448235094</v>
      </c>
      <c r="G22" s="73">
        <f>VLOOKUP(D22,$B$8:$D$18,3,TRUE)</f>
        <v>8</v>
      </c>
      <c r="H22" s="26">
        <v>8</v>
      </c>
      <c r="I22" s="103">
        <v>0.9</v>
      </c>
      <c r="J22" s="14">
        <f>+I22*$J$21</f>
        <v>288000</v>
      </c>
      <c r="K22" s="26">
        <f>+Data!A25</f>
        <v>22</v>
      </c>
      <c r="L22" s="3" t="str">
        <f>+Data!B25</f>
        <v>Ind RH2 70% by 2050</v>
      </c>
      <c r="M22" s="3"/>
      <c r="N22" s="62">
        <f>+Data!P25</f>
        <v>7100000000</v>
      </c>
      <c r="O22" s="90">
        <f t="shared" ref="O22:O45" si="6">N22-$N$45</f>
        <v>59100000000</v>
      </c>
      <c r="P22" s="23">
        <f t="shared" si="3"/>
        <v>0.99494949494949492</v>
      </c>
      <c r="Q22" s="73">
        <f t="shared" si="4"/>
        <v>10</v>
      </c>
      <c r="R22" s="26"/>
      <c r="S22" s="81">
        <v>9</v>
      </c>
      <c r="T22" s="14">
        <v>58000000000</v>
      </c>
      <c r="U22" s="3">
        <v>0.9</v>
      </c>
      <c r="V22" s="14">
        <f>+U22*$V$21</f>
        <v>53460000000</v>
      </c>
    </row>
    <row r="23" spans="1:22">
      <c r="A23" s="26">
        <f>+Data!A23</f>
        <v>20</v>
      </c>
      <c r="B23" s="3" t="str">
        <f>+Data!B23</f>
        <v>Water Systems EE 20% by 2035</v>
      </c>
      <c r="C23" s="3"/>
      <c r="D23" s="63" t="str">
        <f>+Data!O23</f>
        <v>medium</v>
      </c>
      <c r="E23" s="90"/>
      <c r="F23" s="23">
        <f t="shared" si="5"/>
        <v>0</v>
      </c>
      <c r="G23" s="73">
        <v>6</v>
      </c>
      <c r="H23" s="26">
        <v>6</v>
      </c>
      <c r="I23" s="103">
        <v>0.8</v>
      </c>
      <c r="J23" s="14">
        <f t="shared" ref="J23:J30" si="7">+I23*$J$21</f>
        <v>256000</v>
      </c>
      <c r="K23" s="26">
        <f>+Data!A26</f>
        <v>23</v>
      </c>
      <c r="L23" s="3" t="str">
        <f>+Data!B26</f>
        <v>RNG Full Potential by 2050</v>
      </c>
      <c r="M23" s="3"/>
      <c r="N23" s="62">
        <f>+Data!P26</f>
        <v>5400000000</v>
      </c>
      <c r="O23" s="90">
        <f t="shared" si="6"/>
        <v>57400000000</v>
      </c>
      <c r="P23" s="23">
        <f t="shared" si="3"/>
        <v>0.96632996632996637</v>
      </c>
      <c r="Q23" s="73">
        <f t="shared" si="4"/>
        <v>9</v>
      </c>
      <c r="R23" s="26">
        <v>9</v>
      </c>
      <c r="S23" s="81">
        <v>8</v>
      </c>
      <c r="T23" s="14">
        <v>55000000000</v>
      </c>
      <c r="U23" s="3">
        <v>0.8</v>
      </c>
      <c r="V23" s="14">
        <f t="shared" ref="V23:V30" si="8">+U23*$V$21</f>
        <v>47520000000</v>
      </c>
    </row>
    <row r="24" spans="1:22">
      <c r="A24" s="26">
        <f>+Data!A24</f>
        <v>21</v>
      </c>
      <c r="B24" s="3" t="str">
        <f>+Data!B24</f>
        <v>Food Waste Program</v>
      </c>
      <c r="C24" s="3"/>
      <c r="D24" s="63" t="str">
        <f>+Data!O24</f>
        <v>medium</v>
      </c>
      <c r="E24" s="90"/>
      <c r="F24" s="23">
        <f t="shared" si="5"/>
        <v>0</v>
      </c>
      <c r="G24" s="73">
        <v>6</v>
      </c>
      <c r="H24" s="26"/>
      <c r="I24" s="103">
        <v>0.7</v>
      </c>
      <c r="J24" s="14">
        <f t="shared" si="7"/>
        <v>224000</v>
      </c>
      <c r="K24" s="26">
        <f>+Data!A27</f>
        <v>24</v>
      </c>
      <c r="L24" s="3" t="str">
        <f>+Data!B27</f>
        <v>RH2 Injection 15% by 2035</v>
      </c>
      <c r="M24" s="3"/>
      <c r="N24" s="62">
        <f>+Data!P27</f>
        <v>1400000000</v>
      </c>
      <c r="O24" s="90">
        <f t="shared" si="6"/>
        <v>53400000000</v>
      </c>
      <c r="P24" s="23">
        <f t="shared" si="3"/>
        <v>0.89898989898989901</v>
      </c>
      <c r="Q24" s="73">
        <f t="shared" si="4"/>
        <v>8</v>
      </c>
      <c r="R24" s="26">
        <v>8</v>
      </c>
      <c r="S24" s="81">
        <v>7</v>
      </c>
      <c r="T24" s="14">
        <v>53000000000</v>
      </c>
      <c r="U24" s="3">
        <v>0.7</v>
      </c>
      <c r="V24" s="14">
        <f t="shared" si="8"/>
        <v>41580000000</v>
      </c>
    </row>
    <row r="25" spans="1:22">
      <c r="A25" s="26">
        <f>+Data!A12</f>
        <v>9</v>
      </c>
      <c r="B25" s="3" t="str">
        <f>+Data!B12</f>
        <v>Existing Res buildings 100% HP by 2043</v>
      </c>
      <c r="C25" s="3"/>
      <c r="D25" s="63">
        <f>+Data!O12</f>
        <v>57005</v>
      </c>
      <c r="E25" s="90">
        <f>+D25-$D$45</f>
        <v>206682</v>
      </c>
      <c r="F25" s="23">
        <f t="shared" si="5"/>
        <v>0.64987391285208496</v>
      </c>
      <c r="G25" s="73">
        <f>VLOOKUP(D25,$B$8:$D$18,3,TRUE)</f>
        <v>6</v>
      </c>
      <c r="H25" s="26"/>
      <c r="I25" s="103">
        <v>0.6</v>
      </c>
      <c r="J25" s="14">
        <f t="shared" si="7"/>
        <v>192000</v>
      </c>
      <c r="K25" s="26">
        <f>+Data!A15</f>
        <v>12</v>
      </c>
      <c r="L25" s="3" t="str">
        <f>+Data!B15</f>
        <v>Existing Com buildings 100% HPWH by 2043</v>
      </c>
      <c r="M25" s="3"/>
      <c r="N25" s="62">
        <f>+Data!P15</f>
        <v>1200000000</v>
      </c>
      <c r="O25" s="90">
        <f t="shared" si="6"/>
        <v>53200000000</v>
      </c>
      <c r="P25" s="23">
        <f t="shared" si="3"/>
        <v>0.89562289562289565</v>
      </c>
      <c r="Q25" s="73">
        <f t="shared" si="4"/>
        <v>8</v>
      </c>
      <c r="R25" s="26"/>
      <c r="S25" s="81">
        <v>6</v>
      </c>
      <c r="T25" s="14">
        <v>52500000000</v>
      </c>
      <c r="U25" s="3">
        <v>0.6</v>
      </c>
      <c r="V25" s="14">
        <f t="shared" si="8"/>
        <v>35640000000</v>
      </c>
    </row>
    <row r="26" spans="1:22">
      <c r="A26" s="26">
        <f>+Data!A7</f>
        <v>4</v>
      </c>
      <c r="B26" s="3" t="str">
        <f>+Data!B7</f>
        <v>Com Code Reduction 60% by 2030</v>
      </c>
      <c r="C26" s="3"/>
      <c r="D26" s="63">
        <f>+Data!O7</f>
        <v>52821</v>
      </c>
      <c r="E26" s="90">
        <f>+D26-$D$45</f>
        <v>202498</v>
      </c>
      <c r="F26" s="23">
        <f t="shared" si="5"/>
        <v>0.63671808674544228</v>
      </c>
      <c r="G26" s="73">
        <f>VLOOKUP(D26,$B$8:$D$18,3,TRUE)</f>
        <v>6</v>
      </c>
      <c r="H26" s="26"/>
      <c r="I26" s="103">
        <v>0.5</v>
      </c>
      <c r="J26" s="14">
        <f t="shared" si="7"/>
        <v>160000</v>
      </c>
      <c r="K26" s="26">
        <f>+Data!A7</f>
        <v>4</v>
      </c>
      <c r="L26" s="3" t="str">
        <f>+Data!B7</f>
        <v>Com Code Reduction 60% by 2030</v>
      </c>
      <c r="M26" s="3"/>
      <c r="N26" s="62">
        <f>+Data!P7</f>
        <v>700000000</v>
      </c>
      <c r="O26" s="90">
        <f t="shared" si="6"/>
        <v>52700000000</v>
      </c>
      <c r="P26" s="23">
        <f t="shared" si="3"/>
        <v>0.88720538720538722</v>
      </c>
      <c r="Q26" s="73">
        <f t="shared" si="4"/>
        <v>7</v>
      </c>
      <c r="R26" s="26">
        <v>7</v>
      </c>
      <c r="S26" s="81">
        <v>5</v>
      </c>
      <c r="T26" s="14">
        <v>52000000000</v>
      </c>
      <c r="U26" s="3">
        <v>0.5</v>
      </c>
      <c r="V26" s="14">
        <f t="shared" si="8"/>
        <v>29700000000</v>
      </c>
    </row>
    <row r="27" spans="1:22">
      <c r="A27" s="26">
        <f>+Data!A8</f>
        <v>5</v>
      </c>
      <c r="B27" s="3" t="str">
        <f>+Data!B8</f>
        <v>100% Elec HP &amp; WH in New Res by 2025</v>
      </c>
      <c r="C27" s="3"/>
      <c r="D27" s="63">
        <f>+Data!O8</f>
        <v>42485</v>
      </c>
      <c r="E27" s="90">
        <f>+D27-$D$45</f>
        <v>192162</v>
      </c>
      <c r="F27" s="23">
        <f t="shared" si="5"/>
        <v>0.60421841689882216</v>
      </c>
      <c r="G27" s="73">
        <f>VLOOKUP(D27,$B$8:$D$18,3,TRUE)</f>
        <v>6</v>
      </c>
      <c r="H27" s="26"/>
      <c r="I27" s="103">
        <v>0.4</v>
      </c>
      <c r="J27" s="14">
        <f t="shared" si="7"/>
        <v>128000</v>
      </c>
      <c r="K27" s="26">
        <f>+Data!A9</f>
        <v>6</v>
      </c>
      <c r="L27" s="3" t="str">
        <f>+Data!B9</f>
        <v>100% Elec HP &amp; 50% WH in New Com by 2025</v>
      </c>
      <c r="M27" s="3"/>
      <c r="N27" s="62">
        <f>+Data!P9</f>
        <v>100000000</v>
      </c>
      <c r="O27" s="90">
        <f t="shared" si="6"/>
        <v>52100000000</v>
      </c>
      <c r="P27" s="23">
        <f t="shared" si="3"/>
        <v>0.87710437710437705</v>
      </c>
      <c r="Q27" s="73">
        <f t="shared" si="4"/>
        <v>6</v>
      </c>
      <c r="R27" s="26">
        <v>6</v>
      </c>
      <c r="S27" s="81">
        <v>4</v>
      </c>
      <c r="T27" s="14">
        <v>51600000000</v>
      </c>
      <c r="U27" s="3">
        <v>0.4</v>
      </c>
      <c r="V27" s="14">
        <f t="shared" si="8"/>
        <v>23760000000</v>
      </c>
    </row>
    <row r="28" spans="1:22">
      <c r="A28" s="26">
        <f>+Data!A6</f>
        <v>3</v>
      </c>
      <c r="B28" s="3" t="str">
        <f>+Data!B6</f>
        <v>Res Code Reduction 60% by 2030</v>
      </c>
      <c r="C28" s="3"/>
      <c r="D28" s="63">
        <f>+Data!O6</f>
        <v>38162</v>
      </c>
      <c r="E28" s="90">
        <f>+D28-$D$45</f>
        <v>187839</v>
      </c>
      <c r="F28" s="23">
        <f t="shared" si="5"/>
        <v>0.5906255306036462</v>
      </c>
      <c r="G28" s="73">
        <f>VLOOKUP(D28,$B$8:$D$18,3,TRUE)</f>
        <v>6</v>
      </c>
      <c r="H28" s="26"/>
      <c r="I28" s="103">
        <v>0.3</v>
      </c>
      <c r="J28" s="14">
        <f t="shared" si="7"/>
        <v>96000</v>
      </c>
      <c r="K28" s="26">
        <f>+Data!A23</f>
        <v>20</v>
      </c>
      <c r="L28" s="3" t="str">
        <f>+Data!B23</f>
        <v>Water Systems EE 20% by 2035</v>
      </c>
      <c r="M28" s="3"/>
      <c r="N28" s="62">
        <f>+Data!P23</f>
        <v>2200000</v>
      </c>
      <c r="O28" s="90">
        <f t="shared" si="6"/>
        <v>52002200000</v>
      </c>
      <c r="P28" s="23">
        <f t="shared" si="3"/>
        <v>0.87545791245791249</v>
      </c>
      <c r="Q28" s="73">
        <f t="shared" si="4"/>
        <v>6</v>
      </c>
      <c r="R28" s="26"/>
      <c r="S28" s="81">
        <v>3</v>
      </c>
      <c r="T28" s="14">
        <v>50000000000</v>
      </c>
      <c r="U28" s="3">
        <v>0.3</v>
      </c>
      <c r="V28" s="14">
        <f t="shared" si="8"/>
        <v>17820000000</v>
      </c>
    </row>
    <row r="29" spans="1:22">
      <c r="A29" s="26">
        <f>+Data!A16</f>
        <v>13</v>
      </c>
      <c r="B29" s="3" t="str">
        <f>+Data!B16</f>
        <v>Non-CPP Ind EE 50% by 2050</v>
      </c>
      <c r="C29" s="3"/>
      <c r="D29" s="63">
        <f>+Data!O16</f>
        <v>21089</v>
      </c>
      <c r="E29" s="90">
        <f>+D29-$D$45</f>
        <v>170766</v>
      </c>
      <c r="F29" s="23">
        <f t="shared" si="5"/>
        <v>0.53694259104372488</v>
      </c>
      <c r="G29" s="73">
        <f>VLOOKUP(D29,$B$8:$D$18,3,TRUE)</f>
        <v>5</v>
      </c>
      <c r="H29" s="26">
        <v>5</v>
      </c>
      <c r="I29" s="103">
        <v>0.2</v>
      </c>
      <c r="J29" s="14">
        <f t="shared" si="7"/>
        <v>64000</v>
      </c>
      <c r="K29" s="26">
        <f>+Data!A24</f>
        <v>21</v>
      </c>
      <c r="L29" s="3" t="str">
        <f>+Data!B24</f>
        <v>Food Waste Program</v>
      </c>
      <c r="M29" s="3"/>
      <c r="N29" s="62">
        <f>+Data!P24</f>
        <v>-24610000</v>
      </c>
      <c r="O29" s="90">
        <f t="shared" si="6"/>
        <v>51975390000</v>
      </c>
      <c r="P29" s="23">
        <f t="shared" si="3"/>
        <v>0.87500656565656565</v>
      </c>
      <c r="Q29" s="73">
        <f t="shared" si="4"/>
        <v>5</v>
      </c>
      <c r="R29" s="26">
        <v>5</v>
      </c>
      <c r="S29" s="81">
        <v>2</v>
      </c>
      <c r="T29" s="14">
        <v>40000000000</v>
      </c>
      <c r="U29" s="3">
        <v>0.2</v>
      </c>
      <c r="V29" s="14">
        <f t="shared" si="8"/>
        <v>11880000000</v>
      </c>
    </row>
    <row r="30" spans="1:22">
      <c r="A30" s="26">
        <f>+Data!A26</f>
        <v>23</v>
      </c>
      <c r="B30" s="3" t="str">
        <f>+Data!B26</f>
        <v>RNG Full Potential by 2050</v>
      </c>
      <c r="C30" s="3"/>
      <c r="D30" s="63" t="str">
        <f>+Data!O26</f>
        <v>medium-low</v>
      </c>
      <c r="E30" s="90"/>
      <c r="F30" s="23">
        <f t="shared" si="5"/>
        <v>0</v>
      </c>
      <c r="G30" s="73">
        <v>4</v>
      </c>
      <c r="H30" s="26">
        <v>4</v>
      </c>
      <c r="I30" s="103">
        <v>0.1</v>
      </c>
      <c r="J30" s="14">
        <f t="shared" si="7"/>
        <v>32000</v>
      </c>
      <c r="K30" s="26">
        <f>+Data!A8</f>
        <v>5</v>
      </c>
      <c r="L30" s="3" t="str">
        <f>+Data!B8</f>
        <v>100% Elec HP &amp; WH in New Res by 2025</v>
      </c>
      <c r="M30" s="3"/>
      <c r="N30" s="62">
        <f>+Data!P8</f>
        <v>-500000000</v>
      </c>
      <c r="O30" s="90">
        <f t="shared" si="6"/>
        <v>51500000000</v>
      </c>
      <c r="P30" s="23">
        <f t="shared" si="3"/>
        <v>0.867003367003367</v>
      </c>
      <c r="Q30" s="73">
        <f t="shared" si="4"/>
        <v>4</v>
      </c>
      <c r="R30" s="26">
        <v>4</v>
      </c>
      <c r="S30" s="81">
        <v>1</v>
      </c>
      <c r="T30" s="14">
        <v>5000000000</v>
      </c>
      <c r="U30" s="3">
        <v>0.1</v>
      </c>
      <c r="V30" s="14">
        <f t="shared" si="8"/>
        <v>5940000000</v>
      </c>
    </row>
    <row r="31" spans="1:22">
      <c r="A31" s="26">
        <f>+Data!A27</f>
        <v>24</v>
      </c>
      <c r="B31" s="3" t="str">
        <f>+Data!B27</f>
        <v>RH2 Injection 15% by 2035</v>
      </c>
      <c r="C31" s="3"/>
      <c r="D31" s="63" t="str">
        <f>+Data!O27</f>
        <v>medium-low</v>
      </c>
      <c r="E31" s="90"/>
      <c r="F31" s="23">
        <f t="shared" si="5"/>
        <v>0</v>
      </c>
      <c r="G31" s="73">
        <v>4</v>
      </c>
      <c r="H31" s="26"/>
      <c r="J31" s="13"/>
      <c r="K31" s="26">
        <f>+Data!A14</f>
        <v>11</v>
      </c>
      <c r="L31" s="3" t="str">
        <f>+Data!B14</f>
        <v>Existing Com buildings 100% HP by 2043</v>
      </c>
      <c r="M31" s="3"/>
      <c r="N31" s="62">
        <f>+Data!P14</f>
        <v>-800000000</v>
      </c>
      <c r="O31" s="90">
        <f t="shared" si="6"/>
        <v>51200000000</v>
      </c>
      <c r="P31" s="23">
        <f t="shared" si="3"/>
        <v>0.86195286195286192</v>
      </c>
      <c r="Q31" s="73">
        <f t="shared" si="4"/>
        <v>4</v>
      </c>
      <c r="R31" s="26"/>
      <c r="S31" s="13"/>
      <c r="T31" s="13"/>
      <c r="V31" s="13"/>
    </row>
    <row r="32" spans="1:22">
      <c r="A32" s="26">
        <f>+Data!A19</f>
        <v>16</v>
      </c>
      <c r="B32" s="3" t="str">
        <f>+Data!B19</f>
        <v>10% Micro-mobility by 2035</v>
      </c>
      <c r="C32" s="3"/>
      <c r="D32" s="63" t="str">
        <f>+Data!O19</f>
        <v>medium-low</v>
      </c>
      <c r="E32" s="90"/>
      <c r="F32" s="23">
        <f t="shared" si="5"/>
        <v>0</v>
      </c>
      <c r="G32" s="73">
        <v>4</v>
      </c>
      <c r="H32" s="26"/>
      <c r="J32" s="13"/>
      <c r="K32" s="26">
        <f>+Data!A22</f>
        <v>19</v>
      </c>
      <c r="L32" s="3" t="str">
        <f>+Data!B22</f>
        <v>Congestion Pricing</v>
      </c>
      <c r="M32" s="3"/>
      <c r="N32" s="62">
        <f>+Data!P22</f>
        <v>-948000000</v>
      </c>
      <c r="O32" s="90">
        <f t="shared" si="6"/>
        <v>51052000000</v>
      </c>
      <c r="P32" s="23">
        <f t="shared" si="3"/>
        <v>0.85946127946127948</v>
      </c>
      <c r="Q32" s="73">
        <f t="shared" si="4"/>
        <v>4</v>
      </c>
      <c r="R32" s="26"/>
      <c r="S32" s="13"/>
      <c r="T32" s="13"/>
      <c r="V32" s="13"/>
    </row>
    <row r="33" spans="1:22">
      <c r="A33" s="26">
        <f>+Data!A20</f>
        <v>17</v>
      </c>
      <c r="B33" s="3" t="str">
        <f>+Data!B20</f>
        <v>Increase Amtrak Ridership</v>
      </c>
      <c r="C33" s="3"/>
      <c r="D33" s="63" t="str">
        <f>+Data!O20</f>
        <v>medium-low</v>
      </c>
      <c r="E33" s="90"/>
      <c r="F33" s="23" t="s">
        <v>268</v>
      </c>
      <c r="G33" s="73">
        <v>4</v>
      </c>
      <c r="H33" s="26"/>
      <c r="J33" s="13"/>
      <c r="K33" s="26">
        <f>+Data!A28</f>
        <v>25</v>
      </c>
      <c r="L33" s="3" t="str">
        <f>+Data!B28</f>
        <v>Home Fuel Cells 5% by 2030</v>
      </c>
      <c r="M33" s="3"/>
      <c r="N33" s="62">
        <f>+Data!P28</f>
        <v>-1800000000</v>
      </c>
      <c r="O33" s="90">
        <f t="shared" si="6"/>
        <v>50200000000</v>
      </c>
      <c r="P33" s="23">
        <f t="shared" si="3"/>
        <v>0.84511784511784516</v>
      </c>
      <c r="Q33" s="73">
        <f t="shared" si="4"/>
        <v>4</v>
      </c>
      <c r="R33" s="26"/>
      <c r="S33" s="13"/>
      <c r="T33" s="13"/>
      <c r="V33" s="13"/>
    </row>
    <row r="34" spans="1:22">
      <c r="A34" s="26">
        <f>+Data!A21</f>
        <v>18</v>
      </c>
      <c r="B34" s="3" t="str">
        <f>+Data!B21</f>
        <v>Carshare Increases by 2035</v>
      </c>
      <c r="C34" s="3"/>
      <c r="D34" s="63" t="str">
        <f>+Data!O21</f>
        <v>medium-low</v>
      </c>
      <c r="E34" s="90"/>
      <c r="F34" s="23">
        <f t="shared" si="5"/>
        <v>0</v>
      </c>
      <c r="G34" s="73">
        <v>4</v>
      </c>
      <c r="H34" s="26"/>
      <c r="J34" s="13"/>
      <c r="K34" s="26">
        <f>+Data!A13</f>
        <v>10</v>
      </c>
      <c r="L34" s="3" t="str">
        <f>+Data!B13</f>
        <v>Existing Res buildings 100% HPWH by 2043</v>
      </c>
      <c r="M34" s="3"/>
      <c r="N34" s="62">
        <f>+Data!P13</f>
        <v>-3000000000</v>
      </c>
      <c r="O34" s="90">
        <f t="shared" si="6"/>
        <v>49000000000</v>
      </c>
      <c r="P34" s="23">
        <f t="shared" si="3"/>
        <v>0.82491582491582494</v>
      </c>
      <c r="Q34" s="73">
        <f t="shared" si="4"/>
        <v>3</v>
      </c>
      <c r="R34" s="26">
        <v>3</v>
      </c>
      <c r="S34" s="13"/>
      <c r="T34" s="13"/>
      <c r="V34" s="13"/>
    </row>
    <row r="35" spans="1:22">
      <c r="A35" s="26">
        <f>+Data!A22</f>
        <v>19</v>
      </c>
      <c r="B35" s="3" t="str">
        <f>+Data!B22</f>
        <v>Congestion Pricing</v>
      </c>
      <c r="C35" s="3"/>
      <c r="D35" s="63" t="str">
        <f>+Data!O22</f>
        <v>medium-low</v>
      </c>
      <c r="E35" s="90"/>
      <c r="F35" s="23">
        <f t="shared" si="5"/>
        <v>0</v>
      </c>
      <c r="G35" s="73">
        <v>4</v>
      </c>
      <c r="H35" s="26"/>
      <c r="J35" s="13"/>
      <c r="K35" s="26">
        <f>+Data!A18</f>
        <v>15</v>
      </c>
      <c r="L35" s="3" t="str">
        <f>+Data!B18</f>
        <v>10% Mode Shift MD to LD</v>
      </c>
      <c r="M35" s="3"/>
      <c r="N35" s="62">
        <f>+Data!P18</f>
        <v>-3100000000</v>
      </c>
      <c r="O35" s="90">
        <f t="shared" si="6"/>
        <v>48900000000</v>
      </c>
      <c r="P35" s="23">
        <f t="shared" si="3"/>
        <v>0.8232323232323232</v>
      </c>
      <c r="Q35" s="73">
        <f t="shared" si="4"/>
        <v>3</v>
      </c>
      <c r="R35" s="26"/>
      <c r="S35" s="13"/>
      <c r="T35" s="13"/>
      <c r="V35" s="13"/>
    </row>
    <row r="36" spans="1:22">
      <c r="A36" s="26">
        <f>+Data!A25</f>
        <v>22</v>
      </c>
      <c r="B36" s="3" t="str">
        <f>+Data!B25</f>
        <v>Ind RH2 70% by 2050</v>
      </c>
      <c r="C36" s="3"/>
      <c r="D36" s="63" t="str">
        <f>+Data!O25</f>
        <v>medium-low</v>
      </c>
      <c r="E36" s="90"/>
      <c r="F36" s="23">
        <f t="shared" si="5"/>
        <v>0</v>
      </c>
      <c r="G36" s="73">
        <v>4</v>
      </c>
      <c r="H36" s="26"/>
      <c r="J36" s="13"/>
      <c r="K36" s="26">
        <f>+Data!A21</f>
        <v>18</v>
      </c>
      <c r="L36" s="3" t="str">
        <f>+Data!B21</f>
        <v>Carshare Increases by 2035</v>
      </c>
      <c r="M36" s="3"/>
      <c r="N36" s="62">
        <f>+Data!P21</f>
        <v>-3600000000</v>
      </c>
      <c r="O36" s="90">
        <f t="shared" si="6"/>
        <v>48400000000</v>
      </c>
      <c r="P36" s="23">
        <f t="shared" si="3"/>
        <v>0.81481481481481477</v>
      </c>
      <c r="Q36" s="73">
        <f t="shared" si="4"/>
        <v>3</v>
      </c>
      <c r="R36" s="26"/>
      <c r="S36" s="13"/>
      <c r="T36" s="13"/>
      <c r="V36" s="13"/>
    </row>
    <row r="37" spans="1:22">
      <c r="A37" s="26">
        <f>+Data!A28</f>
        <v>25</v>
      </c>
      <c r="B37" s="3" t="str">
        <f>+Data!B28</f>
        <v>Home Fuel Cells 5% by 2030</v>
      </c>
      <c r="C37" s="3"/>
      <c r="D37" s="63">
        <f>+Data!O28</f>
        <v>9294</v>
      </c>
      <c r="E37" s="90">
        <f t="shared" ref="E37:E45" si="9">+D37-$D$45</f>
        <v>158971</v>
      </c>
      <c r="F37" s="23">
        <f t="shared" si="5"/>
        <v>0.49985536137645659</v>
      </c>
      <c r="G37" s="73">
        <f t="shared" ref="G37:G45" si="10">VLOOKUP(D37,$B$8:$D$18,3,TRUE)</f>
        <v>4</v>
      </c>
      <c r="H37" s="26"/>
      <c r="J37" s="13"/>
      <c r="K37" s="26">
        <f>+Data!A20</f>
        <v>17</v>
      </c>
      <c r="L37" s="3" t="str">
        <f>+Data!B20</f>
        <v>Increase Amtrak Ridership</v>
      </c>
      <c r="M37" s="3"/>
      <c r="N37" s="62">
        <f>+Data!P20</f>
        <v>-5100000000</v>
      </c>
      <c r="O37" s="90">
        <f t="shared" si="6"/>
        <v>46900000000</v>
      </c>
      <c r="P37" s="23">
        <f t="shared" si="3"/>
        <v>0.78956228956228958</v>
      </c>
      <c r="Q37" s="73">
        <f t="shared" si="4"/>
        <v>3</v>
      </c>
      <c r="R37" s="26"/>
      <c r="S37" s="13"/>
      <c r="T37" s="13"/>
      <c r="V37" s="13"/>
    </row>
    <row r="38" spans="1:22">
      <c r="A38" s="26">
        <f>+Data!A15</f>
        <v>12</v>
      </c>
      <c r="B38" s="3" t="str">
        <f>+Data!B15</f>
        <v>Existing Com buildings 100% HPWH by 2043</v>
      </c>
      <c r="C38" s="3"/>
      <c r="D38" s="63">
        <f>+Data!O15</f>
        <v>7937</v>
      </c>
      <c r="E38" s="90">
        <f t="shared" si="9"/>
        <v>157614</v>
      </c>
      <c r="F38" s="23">
        <f t="shared" si="5"/>
        <v>0.49558852198192643</v>
      </c>
      <c r="G38" s="73">
        <f t="shared" si="10"/>
        <v>4</v>
      </c>
      <c r="H38" s="26"/>
      <c r="J38" s="13"/>
      <c r="K38" s="26">
        <f>+Data!A19</f>
        <v>16</v>
      </c>
      <c r="L38" s="3" t="str">
        <f>+Data!B19</f>
        <v>10% Micro-mobility by 2035</v>
      </c>
      <c r="M38" s="3"/>
      <c r="N38" s="62">
        <f>+Data!P19</f>
        <v>-5200000000</v>
      </c>
      <c r="O38" s="90">
        <f t="shared" si="6"/>
        <v>46800000000</v>
      </c>
      <c r="P38" s="23">
        <f t="shared" si="3"/>
        <v>0.78787878787878785</v>
      </c>
      <c r="Q38" s="73">
        <f t="shared" si="4"/>
        <v>3</v>
      </c>
      <c r="R38" s="26"/>
      <c r="S38" s="13"/>
      <c r="T38" s="13"/>
      <c r="V38" s="13"/>
    </row>
    <row r="39" spans="1:22">
      <c r="A39" s="26">
        <f>+Data!A9</f>
        <v>6</v>
      </c>
      <c r="B39" s="3" t="str">
        <f>+Data!B9</f>
        <v>100% Elec HP &amp; 50% WH in New Com by 2025</v>
      </c>
      <c r="C39" s="3"/>
      <c r="D39" s="63">
        <f>+Data!O9</f>
        <v>1742</v>
      </c>
      <c r="E39" s="90">
        <f t="shared" si="9"/>
        <v>151419</v>
      </c>
      <c r="F39" s="23">
        <f t="shared" si="5"/>
        <v>0.47610947257211494</v>
      </c>
      <c r="G39" s="73">
        <f t="shared" si="10"/>
        <v>4</v>
      </c>
      <c r="H39" s="26"/>
      <c r="J39" s="13"/>
      <c r="K39" s="26">
        <f>+Data!A6</f>
        <v>3</v>
      </c>
      <c r="L39" s="3" t="str">
        <f>+Data!B6</f>
        <v>Res Code Reduction 60% by 2030</v>
      </c>
      <c r="M39" s="3"/>
      <c r="N39" s="62">
        <f>+Data!P6</f>
        <v>-5300000000</v>
      </c>
      <c r="O39" s="90">
        <f t="shared" si="6"/>
        <v>46700000000</v>
      </c>
      <c r="P39" s="23">
        <f t="shared" si="3"/>
        <v>0.78619528619528622</v>
      </c>
      <c r="Q39" s="73">
        <f t="shared" si="4"/>
        <v>3</v>
      </c>
      <c r="R39" s="26"/>
      <c r="S39" s="13"/>
      <c r="T39" s="13"/>
      <c r="V39" s="13"/>
    </row>
    <row r="40" spans="1:22">
      <c r="A40" s="26">
        <f>+Data!A14</f>
        <v>11</v>
      </c>
      <c r="B40" s="3" t="str">
        <f>+Data!B14</f>
        <v>Existing Com buildings 100% HP by 2043</v>
      </c>
      <c r="C40" s="3"/>
      <c r="D40" s="63">
        <f>+Data!O14</f>
        <v>1580</v>
      </c>
      <c r="E40" s="90">
        <f t="shared" si="9"/>
        <v>151257</v>
      </c>
      <c r="F40" s="23">
        <f t="shared" si="5"/>
        <v>0.47560009307180995</v>
      </c>
      <c r="G40" s="73">
        <f t="shared" si="10"/>
        <v>4</v>
      </c>
      <c r="H40" s="26"/>
      <c r="J40" s="13"/>
      <c r="K40" s="26">
        <f>+Data!A16</f>
        <v>13</v>
      </c>
      <c r="L40" s="3" t="str">
        <f>+Data!B16</f>
        <v>Non-CPP Ind EE 50% by 2050</v>
      </c>
      <c r="M40" s="3"/>
      <c r="N40" s="62">
        <f>+Data!P16</f>
        <v>-8000000000</v>
      </c>
      <c r="O40" s="90">
        <f t="shared" si="6"/>
        <v>44000000000</v>
      </c>
      <c r="P40" s="23">
        <f t="shared" si="3"/>
        <v>0.7407407407407407</v>
      </c>
      <c r="Q40" s="73">
        <f t="shared" si="4"/>
        <v>3</v>
      </c>
      <c r="R40" s="26"/>
      <c r="S40" s="13"/>
      <c r="T40" s="13"/>
      <c r="V40" s="13"/>
    </row>
    <row r="41" spans="1:22">
      <c r="A41" s="26">
        <f>+Data!A13</f>
        <v>10</v>
      </c>
      <c r="B41" s="3" t="str">
        <f>+Data!B13</f>
        <v>Existing Res buildings 100% HPWH by 2043</v>
      </c>
      <c r="C41" s="3"/>
      <c r="D41" s="63">
        <f>+Data!O13</f>
        <v>643</v>
      </c>
      <c r="E41" s="90">
        <f t="shared" si="9"/>
        <v>150320</v>
      </c>
      <c r="F41" s="23">
        <f t="shared" si="5"/>
        <v>0.47265386719658903</v>
      </c>
      <c r="G41" s="73">
        <f t="shared" si="10"/>
        <v>4</v>
      </c>
      <c r="H41" s="26"/>
      <c r="J41" s="13"/>
      <c r="K41" s="26">
        <f>+Data!A10</f>
        <v>7</v>
      </c>
      <c r="L41" s="3" t="str">
        <f>+Data!B10</f>
        <v>Wz in Existing Res by 2040</v>
      </c>
      <c r="M41" s="3"/>
      <c r="N41" s="62">
        <f>+Data!P10</f>
        <v>-8600000000</v>
      </c>
      <c r="O41" s="90">
        <f t="shared" si="6"/>
        <v>43400000000</v>
      </c>
      <c r="P41" s="23">
        <f t="shared" si="3"/>
        <v>0.73063973063973064</v>
      </c>
      <c r="Q41" s="73">
        <f t="shared" si="4"/>
        <v>3</v>
      </c>
      <c r="R41" s="26"/>
      <c r="S41" s="13"/>
      <c r="T41" s="13"/>
      <c r="V41" s="13"/>
    </row>
    <row r="42" spans="1:22">
      <c r="A42" s="26">
        <f>+Data!A4</f>
        <v>1</v>
      </c>
      <c r="B42" s="3" t="str">
        <f>+Data!B4</f>
        <v>Reduced Res Floor Area</v>
      </c>
      <c r="C42" s="3"/>
      <c r="D42" s="63">
        <f>+Data!O4</f>
        <v>0</v>
      </c>
      <c r="E42" s="90">
        <f t="shared" si="9"/>
        <v>149677</v>
      </c>
      <c r="F42" s="23">
        <f t="shared" si="5"/>
        <v>0.47063207078488462</v>
      </c>
      <c r="G42" s="73">
        <f t="shared" si="10"/>
        <v>4</v>
      </c>
      <c r="H42" s="26"/>
      <c r="J42" s="13"/>
      <c r="K42" s="26">
        <f>+Data!A4</f>
        <v>1</v>
      </c>
      <c r="L42" s="3" t="str">
        <f>+Data!B4</f>
        <v>Reduced Res Floor Area</v>
      </c>
      <c r="M42" s="3"/>
      <c r="N42" s="62">
        <f>+Data!P4</f>
        <v>-18000000000</v>
      </c>
      <c r="O42" s="90">
        <f t="shared" si="6"/>
        <v>34000000000</v>
      </c>
      <c r="P42" s="23">
        <f t="shared" si="3"/>
        <v>0.57239057239057234</v>
      </c>
      <c r="Q42" s="73">
        <f t="shared" si="4"/>
        <v>2</v>
      </c>
      <c r="R42" s="26">
        <v>2</v>
      </c>
      <c r="S42" s="13"/>
      <c r="T42" s="13"/>
      <c r="V42" s="13"/>
    </row>
    <row r="43" spans="1:22">
      <c r="A43" s="26">
        <f>+Data!A18</f>
        <v>15</v>
      </c>
      <c r="B43" s="3" t="str">
        <f>+Data!B18</f>
        <v>10% Mode Shift MD to LD</v>
      </c>
      <c r="C43" s="3"/>
      <c r="D43" s="63">
        <f>+Data!O18</f>
        <v>-185</v>
      </c>
      <c r="E43" s="90">
        <f t="shared" si="9"/>
        <v>149492</v>
      </c>
      <c r="F43" s="23">
        <f t="shared" si="5"/>
        <v>0.47005037197280791</v>
      </c>
      <c r="G43" s="73">
        <f t="shared" si="10"/>
        <v>2</v>
      </c>
      <c r="H43" s="26">
        <v>2</v>
      </c>
      <c r="J43" s="13"/>
      <c r="K43" s="26">
        <f>+Data!A11</f>
        <v>8</v>
      </c>
      <c r="L43" s="3" t="str">
        <f>+Data!B11</f>
        <v>Wz in Existing Com by 2040</v>
      </c>
      <c r="M43" s="3"/>
      <c r="N43" s="62">
        <f>+Data!P11</f>
        <v>-24600000000</v>
      </c>
      <c r="O43" s="90">
        <f t="shared" si="6"/>
        <v>27400000000</v>
      </c>
      <c r="P43" s="23">
        <f t="shared" si="3"/>
        <v>0.46127946127946129</v>
      </c>
      <c r="Q43" s="73">
        <f t="shared" si="4"/>
        <v>2</v>
      </c>
      <c r="R43" s="26"/>
      <c r="S43" s="13"/>
      <c r="T43" s="13"/>
      <c r="V43" s="13"/>
    </row>
    <row r="44" spans="1:22">
      <c r="A44" s="26">
        <f>+Data!A17</f>
        <v>14</v>
      </c>
      <c r="B44" s="3" t="str">
        <f>+Data!B17</f>
        <v>MD/HD Zero Emission Plan</v>
      </c>
      <c r="C44" s="3"/>
      <c r="D44" s="63">
        <f>+Data!O17</f>
        <v>-89701</v>
      </c>
      <c r="E44" s="90">
        <f t="shared" si="9"/>
        <v>59976</v>
      </c>
      <c r="F44" s="23">
        <f t="shared" si="5"/>
        <v>0.18858361055736178</v>
      </c>
      <c r="G44" s="73">
        <f t="shared" si="10"/>
        <v>1</v>
      </c>
      <c r="H44" s="26">
        <v>1</v>
      </c>
      <c r="J44" s="13"/>
      <c r="K44" s="26">
        <f>+Data!A5</f>
        <v>2</v>
      </c>
      <c r="L44" s="3" t="str">
        <f>+Data!B5</f>
        <v>Higher Urban Res Density</v>
      </c>
      <c r="M44" s="3"/>
      <c r="N44" s="62">
        <f>+Data!P5</f>
        <v>-39300000000</v>
      </c>
      <c r="O44" s="90">
        <f t="shared" si="6"/>
        <v>12700000000</v>
      </c>
      <c r="P44" s="23">
        <f t="shared" si="3"/>
        <v>0.2138047138047138</v>
      </c>
      <c r="Q44" s="73">
        <f t="shared" si="4"/>
        <v>2</v>
      </c>
      <c r="R44" s="26"/>
      <c r="S44" s="13"/>
      <c r="T44" s="13"/>
      <c r="V44" s="13"/>
    </row>
    <row r="45" spans="1:22">
      <c r="A45" s="26">
        <f>+Data!A5</f>
        <v>2</v>
      </c>
      <c r="B45" s="3" t="str">
        <f>+Data!B5</f>
        <v>Higher Urban Res Density</v>
      </c>
      <c r="C45" s="3"/>
      <c r="D45" s="63">
        <f>+Data!O5</f>
        <v>-149677</v>
      </c>
      <c r="E45" s="90">
        <f t="shared" si="9"/>
        <v>0</v>
      </c>
      <c r="F45" s="23">
        <f t="shared" si="5"/>
        <v>0</v>
      </c>
      <c r="G45" s="73">
        <f t="shared" si="10"/>
        <v>1</v>
      </c>
      <c r="H45" s="26"/>
      <c r="J45" s="13"/>
      <c r="K45" s="26">
        <f>+Data!A17</f>
        <v>14</v>
      </c>
      <c r="L45" s="3" t="str">
        <f>+Data!B17</f>
        <v>MD/HD Zero Emission Plan</v>
      </c>
      <c r="M45" s="3"/>
      <c r="N45" s="62">
        <f>+Data!P17</f>
        <v>-52000000000</v>
      </c>
      <c r="O45" s="90">
        <f t="shared" si="6"/>
        <v>0</v>
      </c>
      <c r="P45" s="23">
        <f t="shared" si="3"/>
        <v>0</v>
      </c>
      <c r="Q45" s="73">
        <f t="shared" si="4"/>
        <v>1</v>
      </c>
      <c r="R45" s="26">
        <v>1</v>
      </c>
      <c r="S45" s="13"/>
      <c r="T45" s="13"/>
      <c r="V45" s="13"/>
    </row>
    <row r="46" spans="1:22">
      <c r="J46" s="13"/>
      <c r="S46" s="13"/>
      <c r="T46" s="13"/>
      <c r="V46" s="13"/>
    </row>
    <row r="47" spans="1:22">
      <c r="J47" s="13"/>
      <c r="S47" s="13"/>
      <c r="T47" s="13"/>
      <c r="V47" s="13"/>
    </row>
    <row r="48" spans="1:22">
      <c r="A48" s="3">
        <v>22</v>
      </c>
      <c r="B48" s="3" t="s">
        <v>94</v>
      </c>
      <c r="C48" s="3"/>
      <c r="D48" s="3" t="s">
        <v>251</v>
      </c>
      <c r="E48" t="s">
        <v>252</v>
      </c>
    </row>
    <row r="49" spans="1:18">
      <c r="A49" s="3">
        <v>23</v>
      </c>
      <c r="B49" s="3" t="s">
        <v>96</v>
      </c>
      <c r="C49" s="3"/>
      <c r="D49" s="3" t="s">
        <v>251</v>
      </c>
      <c r="E49" t="s">
        <v>312</v>
      </c>
    </row>
    <row r="50" spans="1:18">
      <c r="A50" s="3">
        <v>24</v>
      </c>
      <c r="B50" s="3" t="s">
        <v>98</v>
      </c>
      <c r="C50" s="3"/>
      <c r="D50" s="3" t="s">
        <v>251</v>
      </c>
      <c r="E50" t="s">
        <v>252</v>
      </c>
    </row>
    <row r="53" spans="1:18">
      <c r="B53" s="323" t="s">
        <v>279</v>
      </c>
    </row>
    <row r="54" spans="1:18">
      <c r="B54" s="319" t="s">
        <v>38</v>
      </c>
      <c r="C54" s="319"/>
      <c r="D54" s="319"/>
      <c r="E54" s="319"/>
    </row>
    <row r="55" spans="1:18" ht="36.75" customHeight="1">
      <c r="B55" s="321" t="s">
        <v>278</v>
      </c>
      <c r="C55" s="321"/>
      <c r="D55" s="321"/>
      <c r="E55" s="321"/>
      <c r="F55" s="321"/>
      <c r="G55" s="321"/>
      <c r="H55" s="321"/>
      <c r="L55" s="321" t="s">
        <v>313</v>
      </c>
      <c r="M55" s="321"/>
      <c r="N55" s="321"/>
      <c r="O55" s="321"/>
      <c r="P55" s="321"/>
      <c r="Q55" s="321"/>
      <c r="R55" s="321"/>
    </row>
  </sheetData>
  <sortState xmlns:xlrd2="http://schemas.microsoft.com/office/spreadsheetml/2017/richdata2" ref="A21:G45">
    <sortCondition descending="1" ref="G21:G45"/>
    <sortCondition descending="1" ref="D21:D45"/>
  </sortState>
  <mergeCells count="9">
    <mergeCell ref="B55:H55"/>
    <mergeCell ref="L55:R55"/>
    <mergeCell ref="S20:T20"/>
    <mergeCell ref="U20:V20"/>
    <mergeCell ref="B7:D7"/>
    <mergeCell ref="B20:C20"/>
    <mergeCell ref="I20:J20"/>
    <mergeCell ref="L7:N7"/>
    <mergeCell ref="L20:M20"/>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E5C67-9F07-4A26-9B0B-827047E947C5}">
  <sheetPr>
    <tabColor rgb="FFCC99FF"/>
  </sheetPr>
  <dimension ref="A1:AA81"/>
  <sheetViews>
    <sheetView workbookViewId="0">
      <selection activeCell="J29" sqref="J29"/>
    </sheetView>
  </sheetViews>
  <sheetFormatPr defaultRowHeight="15"/>
  <cols>
    <col min="1" max="1" width="5.85546875" customWidth="1"/>
    <col min="2" max="2" width="41.7109375" customWidth="1"/>
    <col min="3" max="3" width="17.7109375" customWidth="1"/>
    <col min="5" max="5" width="5.85546875" customWidth="1"/>
    <col min="6" max="6" width="41.7109375" customWidth="1"/>
    <col min="7" max="7" width="17.7109375" customWidth="1"/>
    <col min="9" max="9" width="5.85546875" customWidth="1"/>
    <col min="10" max="10" width="41.7109375" customWidth="1"/>
    <col min="11" max="11" width="17.7109375" customWidth="1"/>
    <col min="13" max="13" width="5.85546875" customWidth="1"/>
    <col min="14" max="14" width="41.7109375" customWidth="1"/>
    <col min="15" max="15" width="17.7109375" customWidth="1"/>
    <col min="16" max="16" width="16.28515625" bestFit="1" customWidth="1"/>
    <col min="17" max="17" width="8.28515625" customWidth="1"/>
    <col min="18" max="18" width="41.7109375" customWidth="1"/>
    <col min="19" max="19" width="17.7109375" customWidth="1"/>
    <col min="23" max="23" width="9.140625" style="93"/>
    <col min="24" max="24" width="15" customWidth="1"/>
  </cols>
  <sheetData>
    <row r="1" spans="1:27" ht="21">
      <c r="B1" s="24" t="s">
        <v>39</v>
      </c>
    </row>
    <row r="2" spans="1:27">
      <c r="B2" t="s">
        <v>142</v>
      </c>
      <c r="C2">
        <f>+'Eval Crit List'!J8</f>
        <v>11</v>
      </c>
    </row>
    <row r="3" spans="1:27">
      <c r="B3" t="s">
        <v>111</v>
      </c>
      <c r="C3">
        <f>+'Eval Crit List'!J7/2</f>
        <v>2.2000000000000002</v>
      </c>
      <c r="F3" t="s">
        <v>111</v>
      </c>
      <c r="G3">
        <f>+'Eval Crit List'!J7/2</f>
        <v>2.2000000000000002</v>
      </c>
      <c r="J3" t="s">
        <v>111</v>
      </c>
      <c r="K3">
        <f>+'Eval Crit List'!K7/2</f>
        <v>2.2000000000000002</v>
      </c>
      <c r="N3" t="s">
        <v>111</v>
      </c>
      <c r="O3">
        <f>+'Eval Crit List'!K7/2</f>
        <v>2.2000000000000002</v>
      </c>
      <c r="R3" t="s">
        <v>111</v>
      </c>
      <c r="S3" s="21">
        <f>+'Eval Crit List'!L7</f>
        <v>2.2000000000000002</v>
      </c>
      <c r="X3" s="110"/>
      <c r="Y3" s="110"/>
      <c r="Z3" s="110"/>
      <c r="AA3" s="110">
        <f>SUM(AA6:AA10)</f>
        <v>27</v>
      </c>
    </row>
    <row r="4" spans="1:27" ht="15.75">
      <c r="B4" s="59" t="s">
        <v>106</v>
      </c>
      <c r="F4" s="59" t="s">
        <v>106</v>
      </c>
      <c r="J4" s="59" t="s">
        <v>106</v>
      </c>
      <c r="N4" s="59" t="s">
        <v>106</v>
      </c>
      <c r="Q4" s="21"/>
      <c r="R4" s="59" t="s">
        <v>106</v>
      </c>
      <c r="X4" s="110"/>
      <c r="Y4" s="110"/>
      <c r="Z4" s="110"/>
      <c r="AA4" s="110"/>
    </row>
    <row r="5" spans="1:27">
      <c r="B5" s="87" t="s">
        <v>205</v>
      </c>
      <c r="C5" s="50" t="s">
        <v>11</v>
      </c>
      <c r="F5" s="87" t="s">
        <v>206</v>
      </c>
      <c r="G5" s="50" t="s">
        <v>11</v>
      </c>
      <c r="J5" s="87" t="s">
        <v>202</v>
      </c>
      <c r="K5" s="50" t="s">
        <v>11</v>
      </c>
      <c r="N5" s="87" t="s">
        <v>204</v>
      </c>
      <c r="O5" s="50" t="s">
        <v>11</v>
      </c>
      <c r="R5" s="87" t="s">
        <v>203</v>
      </c>
      <c r="S5" s="50" t="s">
        <v>150</v>
      </c>
      <c r="T5" s="50" t="s">
        <v>26</v>
      </c>
      <c r="U5" s="190" t="s">
        <v>190</v>
      </c>
      <c r="V5" s="191"/>
      <c r="W5" s="93">
        <f>SUM(W6:W8)</f>
        <v>27</v>
      </c>
      <c r="X5" s="111" t="s">
        <v>188</v>
      </c>
      <c r="Y5" s="110"/>
      <c r="Z5" s="110"/>
      <c r="AA5" s="110"/>
    </row>
    <row r="6" spans="1:27">
      <c r="B6" s="3" t="s">
        <v>27</v>
      </c>
      <c r="C6" s="26">
        <v>10</v>
      </c>
      <c r="F6" s="3" t="s">
        <v>27</v>
      </c>
      <c r="G6" s="26">
        <v>10</v>
      </c>
      <c r="J6" s="3" t="s">
        <v>27</v>
      </c>
      <c r="K6" s="26">
        <v>10</v>
      </c>
      <c r="N6" s="3" t="s">
        <v>27</v>
      </c>
      <c r="O6" s="26">
        <v>10</v>
      </c>
      <c r="R6" s="3" t="s">
        <v>29</v>
      </c>
      <c r="S6" s="92" t="s">
        <v>189</v>
      </c>
      <c r="T6" s="26">
        <v>0</v>
      </c>
      <c r="U6" s="3">
        <v>2033</v>
      </c>
      <c r="V6" s="3">
        <v>2050</v>
      </c>
      <c r="W6" s="93">
        <v>15</v>
      </c>
      <c r="X6" s="112" t="s">
        <v>148</v>
      </c>
      <c r="Y6" s="113" t="s">
        <v>154</v>
      </c>
      <c r="Z6" s="114">
        <v>2</v>
      </c>
      <c r="AA6" s="110">
        <v>8</v>
      </c>
    </row>
    <row r="7" spans="1:27">
      <c r="B7" s="3" t="s">
        <v>139</v>
      </c>
      <c r="C7" s="26">
        <v>8</v>
      </c>
      <c r="F7" s="3" t="s">
        <v>139</v>
      </c>
      <c r="G7" s="26">
        <v>8</v>
      </c>
      <c r="J7" s="3" t="s">
        <v>139</v>
      </c>
      <c r="K7" s="26">
        <v>8</v>
      </c>
      <c r="N7" s="3" t="s">
        <v>139</v>
      </c>
      <c r="O7" s="26">
        <v>8</v>
      </c>
      <c r="R7" s="3" t="s">
        <v>30</v>
      </c>
      <c r="S7" s="92" t="s">
        <v>184</v>
      </c>
      <c r="T7" s="26">
        <v>5</v>
      </c>
      <c r="U7" s="3">
        <v>2027</v>
      </c>
      <c r="V7" s="3">
        <v>2035</v>
      </c>
      <c r="W7" s="93">
        <v>9</v>
      </c>
      <c r="X7" s="112" t="s">
        <v>29</v>
      </c>
      <c r="Y7" s="113" t="s">
        <v>155</v>
      </c>
      <c r="Z7" s="114">
        <v>4</v>
      </c>
      <c r="AA7" s="110">
        <v>7</v>
      </c>
    </row>
    <row r="8" spans="1:27">
      <c r="B8" s="3" t="s">
        <v>147</v>
      </c>
      <c r="C8" s="26">
        <v>6</v>
      </c>
      <c r="F8" s="3" t="s">
        <v>147</v>
      </c>
      <c r="G8" s="26">
        <v>6</v>
      </c>
      <c r="J8" s="3" t="s">
        <v>147</v>
      </c>
      <c r="K8" s="26">
        <v>6</v>
      </c>
      <c r="N8" s="3" t="s">
        <v>147</v>
      </c>
      <c r="O8" s="26">
        <v>6</v>
      </c>
      <c r="R8" s="3" t="s">
        <v>31</v>
      </c>
      <c r="S8" s="92" t="s">
        <v>151</v>
      </c>
      <c r="T8" s="26">
        <v>10</v>
      </c>
      <c r="U8" s="3">
        <v>2023</v>
      </c>
      <c r="V8" s="3">
        <v>2025</v>
      </c>
      <c r="W8" s="93">
        <v>3</v>
      </c>
      <c r="X8" s="112" t="s">
        <v>30</v>
      </c>
      <c r="Y8" s="113" t="s">
        <v>153</v>
      </c>
      <c r="Z8" s="114">
        <v>6</v>
      </c>
      <c r="AA8" s="110">
        <v>5</v>
      </c>
    </row>
    <row r="9" spans="1:27">
      <c r="B9" s="3" t="s">
        <v>140</v>
      </c>
      <c r="C9" s="26">
        <v>4</v>
      </c>
      <c r="F9" s="3" t="s">
        <v>140</v>
      </c>
      <c r="G9" s="26">
        <v>4</v>
      </c>
      <c r="J9" s="3" t="s">
        <v>140</v>
      </c>
      <c r="K9" s="26">
        <v>4</v>
      </c>
      <c r="N9" s="3" t="s">
        <v>140</v>
      </c>
      <c r="O9" s="26">
        <v>4</v>
      </c>
      <c r="X9" s="112" t="s">
        <v>31</v>
      </c>
      <c r="Y9" s="113" t="s">
        <v>152</v>
      </c>
      <c r="Z9" s="114">
        <v>8</v>
      </c>
      <c r="AA9" s="110">
        <v>4</v>
      </c>
    </row>
    <row r="10" spans="1:27">
      <c r="B10" s="3" t="s">
        <v>28</v>
      </c>
      <c r="C10" s="26">
        <v>2</v>
      </c>
      <c r="F10" s="3" t="s">
        <v>28</v>
      </c>
      <c r="G10" s="26">
        <v>2</v>
      </c>
      <c r="J10" s="3" t="s">
        <v>28</v>
      </c>
      <c r="K10" s="26">
        <v>2</v>
      </c>
      <c r="N10" s="3" t="s">
        <v>28</v>
      </c>
      <c r="O10" s="26">
        <v>2</v>
      </c>
      <c r="X10" s="112" t="s">
        <v>149</v>
      </c>
      <c r="Y10" s="113" t="s">
        <v>151</v>
      </c>
      <c r="Z10" s="114">
        <v>10</v>
      </c>
      <c r="AA10" s="110">
        <v>3</v>
      </c>
    </row>
    <row r="12" spans="1:27" ht="30">
      <c r="A12" s="86" t="s">
        <v>61</v>
      </c>
      <c r="B12" s="87" t="s">
        <v>112</v>
      </c>
      <c r="C12" s="89" t="s">
        <v>141</v>
      </c>
      <c r="D12" s="88" t="s">
        <v>136</v>
      </c>
      <c r="E12" s="86" t="s">
        <v>61</v>
      </c>
      <c r="F12" s="87" t="s">
        <v>112</v>
      </c>
      <c r="G12" s="89" t="s">
        <v>141</v>
      </c>
      <c r="H12" s="88" t="s">
        <v>136</v>
      </c>
      <c r="I12" s="86" t="s">
        <v>61</v>
      </c>
      <c r="J12" s="87" t="s">
        <v>112</v>
      </c>
      <c r="K12" s="89" t="s">
        <v>141</v>
      </c>
      <c r="L12" s="88" t="s">
        <v>136</v>
      </c>
      <c r="M12" s="86" t="s">
        <v>61</v>
      </c>
      <c r="N12" s="87" t="s">
        <v>112</v>
      </c>
      <c r="O12" s="89" t="s">
        <v>141</v>
      </c>
      <c r="P12" s="88" t="s">
        <v>136</v>
      </c>
      <c r="Q12" s="86" t="s">
        <v>61</v>
      </c>
      <c r="R12" s="87" t="s">
        <v>112</v>
      </c>
      <c r="S12" s="89" t="s">
        <v>141</v>
      </c>
      <c r="T12" s="88" t="s">
        <v>136</v>
      </c>
    </row>
    <row r="13" spans="1:27">
      <c r="A13" s="91">
        <f>+Data!A4</f>
        <v>1</v>
      </c>
      <c r="B13" s="3" t="str">
        <f>+Data!B4</f>
        <v>Reduced Res Floor Area</v>
      </c>
      <c r="C13" s="26" t="s">
        <v>27</v>
      </c>
      <c r="D13" s="73">
        <f t="shared" ref="D13:D37" si="0">VLOOKUP(C13,$B$6:$C$10,2,FALSE)</f>
        <v>10</v>
      </c>
      <c r="E13" s="91">
        <f>+Data!A4</f>
        <v>1</v>
      </c>
      <c r="F13" s="3" t="str">
        <f>+Data!B4</f>
        <v>Reduced Res Floor Area</v>
      </c>
      <c r="G13" s="26" t="s">
        <v>147</v>
      </c>
      <c r="H13" s="73">
        <f>VLOOKUP(G13,$F$6:$G$10,2,FALSE)</f>
        <v>6</v>
      </c>
      <c r="I13" s="91">
        <f>+Data!A4</f>
        <v>1</v>
      </c>
      <c r="J13" s="3" t="str">
        <f>+Data!B4</f>
        <v>Reduced Res Floor Area</v>
      </c>
      <c r="K13" s="26" t="s">
        <v>147</v>
      </c>
      <c r="L13" s="73">
        <f>VLOOKUP(K13,$J$6:$K$10,2,FALSE)</f>
        <v>6</v>
      </c>
      <c r="M13" s="91">
        <f>+Data!A4</f>
        <v>1</v>
      </c>
      <c r="N13" s="3" t="str">
        <f>+Data!B4</f>
        <v>Reduced Res Floor Area</v>
      </c>
      <c r="O13" s="26" t="s">
        <v>27</v>
      </c>
      <c r="P13" s="73">
        <f>VLOOKUP(O13,$N$6:$O$10,2,FALSE)</f>
        <v>10</v>
      </c>
      <c r="Q13" s="91">
        <f>+Data!A4</f>
        <v>1</v>
      </c>
      <c r="R13" s="3" t="str">
        <f>+Data!B4</f>
        <v>Reduced Res Floor Area</v>
      </c>
      <c r="S13" s="26" t="s">
        <v>30</v>
      </c>
      <c r="T13" s="73">
        <f t="shared" ref="T13:T37" si="1">VLOOKUP(S13,$R$6:$T$8,3,FALSE)</f>
        <v>5</v>
      </c>
    </row>
    <row r="14" spans="1:27">
      <c r="A14" s="91">
        <f>+Data!A5</f>
        <v>2</v>
      </c>
      <c r="B14" s="3" t="str">
        <f>+Data!B5</f>
        <v>Higher Urban Res Density</v>
      </c>
      <c r="C14" s="26" t="s">
        <v>139</v>
      </c>
      <c r="D14" s="73">
        <f t="shared" si="0"/>
        <v>8</v>
      </c>
      <c r="E14" s="91">
        <f>+Data!A5</f>
        <v>2</v>
      </c>
      <c r="F14" s="3" t="str">
        <f>+Data!B5</f>
        <v>Higher Urban Res Density</v>
      </c>
      <c r="G14" s="26" t="s">
        <v>147</v>
      </c>
      <c r="H14" s="73">
        <f t="shared" ref="H14:H37" si="2">VLOOKUP(G14,$F$6:$G$10,2,FALSE)</f>
        <v>6</v>
      </c>
      <c r="I14" s="91">
        <f>+Data!A5</f>
        <v>2</v>
      </c>
      <c r="J14" s="3" t="str">
        <f>+Data!B5</f>
        <v>Higher Urban Res Density</v>
      </c>
      <c r="K14" s="26" t="s">
        <v>139</v>
      </c>
      <c r="L14" s="73">
        <f t="shared" ref="L14:L37" si="3">VLOOKUP(K14,$J$6:$K$10,2,FALSE)</f>
        <v>8</v>
      </c>
      <c r="M14" s="91">
        <f>+Data!A5</f>
        <v>2</v>
      </c>
      <c r="N14" s="3" t="str">
        <f>+Data!B5</f>
        <v>Higher Urban Res Density</v>
      </c>
      <c r="O14" s="26" t="s">
        <v>27</v>
      </c>
      <c r="P14" s="73">
        <f t="shared" ref="P14:P37" si="4">VLOOKUP(O14,$N$6:$O$10,2,FALSE)</f>
        <v>10</v>
      </c>
      <c r="Q14" s="91">
        <f>+Data!A5</f>
        <v>2</v>
      </c>
      <c r="R14" s="3" t="str">
        <f>+Data!B5</f>
        <v>Higher Urban Res Density</v>
      </c>
      <c r="S14" s="26" t="s">
        <v>29</v>
      </c>
      <c r="T14" s="73">
        <f t="shared" si="1"/>
        <v>0</v>
      </c>
    </row>
    <row r="15" spans="1:27">
      <c r="A15" s="91">
        <f>+Data!A6</f>
        <v>3</v>
      </c>
      <c r="B15" s="3" t="str">
        <f>+Data!B6</f>
        <v>Res Code Reduction 60% by 2030</v>
      </c>
      <c r="C15" s="26" t="s">
        <v>27</v>
      </c>
      <c r="D15" s="73">
        <f t="shared" si="0"/>
        <v>10</v>
      </c>
      <c r="E15" s="91">
        <f>+Data!A6</f>
        <v>3</v>
      </c>
      <c r="F15" s="3" t="str">
        <f>+Data!B6</f>
        <v>Res Code Reduction 60% by 2030</v>
      </c>
      <c r="G15" s="26" t="s">
        <v>27</v>
      </c>
      <c r="H15" s="73">
        <f t="shared" si="2"/>
        <v>10</v>
      </c>
      <c r="I15" s="91">
        <f>+Data!A6</f>
        <v>3</v>
      </c>
      <c r="J15" s="3" t="str">
        <f>+Data!B6</f>
        <v>Res Code Reduction 60% by 2030</v>
      </c>
      <c r="K15" s="26" t="s">
        <v>139</v>
      </c>
      <c r="L15" s="73">
        <f t="shared" si="3"/>
        <v>8</v>
      </c>
      <c r="M15" s="91">
        <f>+Data!A6</f>
        <v>3</v>
      </c>
      <c r="N15" s="3" t="str">
        <f>+Data!B6</f>
        <v>Res Code Reduction 60% by 2030</v>
      </c>
      <c r="O15" s="26" t="s">
        <v>147</v>
      </c>
      <c r="P15" s="73">
        <f t="shared" si="4"/>
        <v>6</v>
      </c>
      <c r="Q15" s="91">
        <f>+Data!A6</f>
        <v>3</v>
      </c>
      <c r="R15" s="3" t="str">
        <f>+Data!B6</f>
        <v>Res Code Reduction 60% by 2030</v>
      </c>
      <c r="S15" s="26" t="s">
        <v>31</v>
      </c>
      <c r="T15" s="73">
        <f t="shared" si="1"/>
        <v>10</v>
      </c>
    </row>
    <row r="16" spans="1:27">
      <c r="A16" s="91">
        <f>+Data!A7</f>
        <v>4</v>
      </c>
      <c r="B16" s="3" t="str">
        <f>+Data!B7</f>
        <v>Com Code Reduction 60% by 2030</v>
      </c>
      <c r="C16" s="26" t="s">
        <v>27</v>
      </c>
      <c r="D16" s="73">
        <f t="shared" si="0"/>
        <v>10</v>
      </c>
      <c r="E16" s="91">
        <f>+Data!A7</f>
        <v>4</v>
      </c>
      <c r="F16" s="3" t="str">
        <f>+Data!B7</f>
        <v>Com Code Reduction 60% by 2030</v>
      </c>
      <c r="G16" s="26" t="s">
        <v>27</v>
      </c>
      <c r="H16" s="73">
        <f t="shared" si="2"/>
        <v>10</v>
      </c>
      <c r="I16" s="91">
        <f>+Data!A7</f>
        <v>4</v>
      </c>
      <c r="J16" s="3" t="str">
        <f>+Data!B7</f>
        <v>Com Code Reduction 60% by 2030</v>
      </c>
      <c r="K16" s="26" t="s">
        <v>140</v>
      </c>
      <c r="L16" s="73">
        <f t="shared" si="3"/>
        <v>4</v>
      </c>
      <c r="M16" s="91">
        <f>+Data!A7</f>
        <v>4</v>
      </c>
      <c r="N16" s="3" t="str">
        <f>+Data!B7</f>
        <v>Com Code Reduction 60% by 2030</v>
      </c>
      <c r="O16" s="26" t="s">
        <v>147</v>
      </c>
      <c r="P16" s="73">
        <f t="shared" si="4"/>
        <v>6</v>
      </c>
      <c r="Q16" s="91">
        <f>+Data!A7</f>
        <v>4</v>
      </c>
      <c r="R16" s="3" t="str">
        <f>+Data!B7</f>
        <v>Com Code Reduction 60% by 2030</v>
      </c>
      <c r="S16" s="26" t="s">
        <v>31</v>
      </c>
      <c r="T16" s="73">
        <f t="shared" si="1"/>
        <v>10</v>
      </c>
    </row>
    <row r="17" spans="1:21">
      <c r="A17" s="91">
        <f>+Data!A8</f>
        <v>5</v>
      </c>
      <c r="B17" s="3" t="str">
        <f>+Data!B8</f>
        <v>100% Elec HP &amp; WH in New Res by 2025</v>
      </c>
      <c r="C17" s="26" t="s">
        <v>27</v>
      </c>
      <c r="D17" s="73">
        <f t="shared" si="0"/>
        <v>10</v>
      </c>
      <c r="E17" s="91">
        <f>+Data!A8</f>
        <v>5</v>
      </c>
      <c r="F17" s="3" t="str">
        <f>+Data!B8</f>
        <v>100% Elec HP &amp; WH in New Res by 2025</v>
      </c>
      <c r="G17" s="26" t="s">
        <v>140</v>
      </c>
      <c r="H17" s="73">
        <f t="shared" si="2"/>
        <v>4</v>
      </c>
      <c r="I17" s="91">
        <f>+Data!A8</f>
        <v>5</v>
      </c>
      <c r="J17" s="3" t="str">
        <f>+Data!B8</f>
        <v>100% Elec HP &amp; WH in New Res by 2025</v>
      </c>
      <c r="K17" s="26" t="s">
        <v>147</v>
      </c>
      <c r="L17" s="73">
        <f t="shared" si="3"/>
        <v>6</v>
      </c>
      <c r="M17" s="91">
        <f>+Data!A8</f>
        <v>5</v>
      </c>
      <c r="N17" s="3" t="str">
        <f>+Data!B8</f>
        <v>100% Elec HP &amp; WH in New Res by 2025</v>
      </c>
      <c r="O17" s="26" t="s">
        <v>147</v>
      </c>
      <c r="P17" s="73">
        <f t="shared" si="4"/>
        <v>6</v>
      </c>
      <c r="Q17" s="91">
        <f>+Data!A8</f>
        <v>5</v>
      </c>
      <c r="R17" s="3" t="str">
        <f>+Data!B8</f>
        <v>100% Elec HP &amp; WH in New Res by 2025</v>
      </c>
      <c r="S17" s="26" t="s">
        <v>31</v>
      </c>
      <c r="T17" s="73">
        <f t="shared" si="1"/>
        <v>10</v>
      </c>
    </row>
    <row r="18" spans="1:21">
      <c r="A18" s="91">
        <f>+Data!A9</f>
        <v>6</v>
      </c>
      <c r="B18" s="3" t="str">
        <f>+Data!B9</f>
        <v>100% Elec HP &amp; 50% WH in New Com by 2025</v>
      </c>
      <c r="C18" s="26" t="s">
        <v>27</v>
      </c>
      <c r="D18" s="73">
        <f t="shared" si="0"/>
        <v>10</v>
      </c>
      <c r="E18" s="91">
        <f>+Data!A9</f>
        <v>6</v>
      </c>
      <c r="F18" s="3" t="str">
        <f>+Data!B9</f>
        <v>100% Elec HP &amp; 50% WH in New Com by 2025</v>
      </c>
      <c r="G18" s="26" t="s">
        <v>140</v>
      </c>
      <c r="H18" s="73">
        <f t="shared" si="2"/>
        <v>4</v>
      </c>
      <c r="I18" s="91">
        <f>+Data!A9</f>
        <v>6</v>
      </c>
      <c r="J18" s="3" t="str">
        <f>+Data!B9</f>
        <v>100% Elec HP &amp; 50% WH in New Com by 2025</v>
      </c>
      <c r="K18" s="26" t="s">
        <v>147</v>
      </c>
      <c r="L18" s="73">
        <f t="shared" si="3"/>
        <v>6</v>
      </c>
      <c r="M18" s="91">
        <f>+Data!A9</f>
        <v>6</v>
      </c>
      <c r="N18" s="3" t="str">
        <f>+Data!B9</f>
        <v>100% Elec HP &amp; 50% WH in New Com by 2025</v>
      </c>
      <c r="O18" s="26" t="s">
        <v>139</v>
      </c>
      <c r="P18" s="73">
        <f t="shared" si="4"/>
        <v>8</v>
      </c>
      <c r="Q18" s="91">
        <f>+Data!A9</f>
        <v>6</v>
      </c>
      <c r="R18" s="3" t="str">
        <f>+Data!B9</f>
        <v>100% Elec HP &amp; 50% WH in New Com by 2025</v>
      </c>
      <c r="S18" s="26" t="s">
        <v>31</v>
      </c>
      <c r="T18" s="73">
        <f t="shared" si="1"/>
        <v>10</v>
      </c>
    </row>
    <row r="19" spans="1:21">
      <c r="A19" s="91">
        <f>+Data!A10</f>
        <v>7</v>
      </c>
      <c r="B19" s="3" t="str">
        <f>+Data!B10</f>
        <v>Wz in Existing Res by 2040</v>
      </c>
      <c r="C19" s="26" t="s">
        <v>27</v>
      </c>
      <c r="D19" s="73">
        <f t="shared" si="0"/>
        <v>10</v>
      </c>
      <c r="E19" s="91">
        <f>+Data!A10</f>
        <v>7</v>
      </c>
      <c r="F19" s="3" t="str">
        <f>+Data!B10</f>
        <v>Wz in Existing Res by 2040</v>
      </c>
      <c r="G19" s="26" t="s">
        <v>147</v>
      </c>
      <c r="H19" s="73">
        <f t="shared" si="2"/>
        <v>6</v>
      </c>
      <c r="I19" s="91">
        <f>+Data!A10</f>
        <v>7</v>
      </c>
      <c r="J19" s="3" t="str">
        <f>+Data!B10</f>
        <v>Wz in Existing Res by 2040</v>
      </c>
      <c r="K19" s="26" t="s">
        <v>139</v>
      </c>
      <c r="L19" s="73">
        <f t="shared" si="3"/>
        <v>8</v>
      </c>
      <c r="M19" s="91">
        <f>+Data!A10</f>
        <v>7</v>
      </c>
      <c r="N19" s="3" t="str">
        <f>+Data!B10</f>
        <v>Wz in Existing Res by 2040</v>
      </c>
      <c r="O19" s="26" t="s">
        <v>147</v>
      </c>
      <c r="P19" s="73">
        <f t="shared" si="4"/>
        <v>6</v>
      </c>
      <c r="Q19" s="91">
        <f>+Data!A10</f>
        <v>7</v>
      </c>
      <c r="R19" s="3" t="str">
        <f>+Data!B10</f>
        <v>Wz in Existing Res by 2040</v>
      </c>
      <c r="S19" s="26" t="s">
        <v>30</v>
      </c>
      <c r="T19" s="73">
        <f t="shared" si="1"/>
        <v>5</v>
      </c>
      <c r="U19" t="s">
        <v>191</v>
      </c>
    </row>
    <row r="20" spans="1:21">
      <c r="A20" s="91">
        <f>+Data!A11</f>
        <v>8</v>
      </c>
      <c r="B20" s="3" t="str">
        <f>+Data!B11</f>
        <v>Wz in Existing Com by 2040</v>
      </c>
      <c r="C20" s="26" t="s">
        <v>27</v>
      </c>
      <c r="D20" s="73">
        <f t="shared" si="0"/>
        <v>10</v>
      </c>
      <c r="E20" s="91">
        <f>+Data!A11</f>
        <v>8</v>
      </c>
      <c r="F20" s="3" t="str">
        <f>+Data!B11</f>
        <v>Wz in Existing Com by 2040</v>
      </c>
      <c r="G20" s="26" t="s">
        <v>147</v>
      </c>
      <c r="H20" s="73">
        <f t="shared" si="2"/>
        <v>6</v>
      </c>
      <c r="I20" s="91">
        <f>+Data!A11</f>
        <v>8</v>
      </c>
      <c r="J20" s="3" t="str">
        <f>+Data!B11</f>
        <v>Wz in Existing Com by 2040</v>
      </c>
      <c r="K20" s="26" t="s">
        <v>139</v>
      </c>
      <c r="L20" s="73">
        <f t="shared" si="3"/>
        <v>8</v>
      </c>
      <c r="M20" s="91">
        <f>+Data!A11</f>
        <v>8</v>
      </c>
      <c r="N20" s="3" t="str">
        <f>+Data!B11</f>
        <v>Wz in Existing Com by 2040</v>
      </c>
      <c r="O20" s="26" t="s">
        <v>147</v>
      </c>
      <c r="P20" s="73">
        <f t="shared" si="4"/>
        <v>6</v>
      </c>
      <c r="Q20" s="91">
        <f>+Data!A11</f>
        <v>8</v>
      </c>
      <c r="R20" s="3" t="str">
        <f>+Data!B11</f>
        <v>Wz in Existing Com by 2040</v>
      </c>
      <c r="S20" s="26" t="s">
        <v>30</v>
      </c>
      <c r="T20" s="73">
        <f t="shared" si="1"/>
        <v>5</v>
      </c>
    </row>
    <row r="21" spans="1:21">
      <c r="A21" s="91">
        <f>+Data!A12</f>
        <v>9</v>
      </c>
      <c r="B21" s="3" t="str">
        <f>+Data!B12</f>
        <v>Existing Res buildings 100% HP by 2043</v>
      </c>
      <c r="C21" s="26" t="s">
        <v>27</v>
      </c>
      <c r="D21" s="73">
        <f t="shared" si="0"/>
        <v>10</v>
      </c>
      <c r="E21" s="91">
        <f>+Data!A12</f>
        <v>9</v>
      </c>
      <c r="F21" s="3" t="str">
        <f>+Data!B12</f>
        <v>Existing Res buildings 100% HP by 2043</v>
      </c>
      <c r="G21" s="26" t="s">
        <v>139</v>
      </c>
      <c r="H21" s="73">
        <f t="shared" si="2"/>
        <v>8</v>
      </c>
      <c r="I21" s="91">
        <f>+Data!A12</f>
        <v>9</v>
      </c>
      <c r="J21" s="3" t="str">
        <f>+Data!B12</f>
        <v>Existing Res buildings 100% HP by 2043</v>
      </c>
      <c r="K21" s="26" t="s">
        <v>140</v>
      </c>
      <c r="L21" s="73">
        <f t="shared" si="3"/>
        <v>4</v>
      </c>
      <c r="M21" s="91">
        <f>+Data!A12</f>
        <v>9</v>
      </c>
      <c r="N21" s="3" t="str">
        <f>+Data!B12</f>
        <v>Existing Res buildings 100% HP by 2043</v>
      </c>
      <c r="O21" s="26" t="s">
        <v>147</v>
      </c>
      <c r="P21" s="73">
        <f t="shared" si="4"/>
        <v>6</v>
      </c>
      <c r="Q21" s="91">
        <f>+Data!A12</f>
        <v>9</v>
      </c>
      <c r="R21" s="3" t="str">
        <f>+Data!B12</f>
        <v>Existing Res buildings 100% HP by 2043</v>
      </c>
      <c r="S21" s="26" t="s">
        <v>29</v>
      </c>
      <c r="T21" s="73">
        <f t="shared" si="1"/>
        <v>0</v>
      </c>
    </row>
    <row r="22" spans="1:21">
      <c r="A22" s="91">
        <f>+Data!A13</f>
        <v>10</v>
      </c>
      <c r="B22" s="3" t="str">
        <f>+Data!B13</f>
        <v>Existing Res buildings 100% HPWH by 2043</v>
      </c>
      <c r="C22" s="26" t="s">
        <v>27</v>
      </c>
      <c r="D22" s="73">
        <f t="shared" si="0"/>
        <v>10</v>
      </c>
      <c r="E22" s="91">
        <f>+Data!A13</f>
        <v>10</v>
      </c>
      <c r="F22" s="3" t="str">
        <f>+Data!B13</f>
        <v>Existing Res buildings 100% HPWH by 2043</v>
      </c>
      <c r="G22" s="26" t="s">
        <v>139</v>
      </c>
      <c r="H22" s="73">
        <f t="shared" si="2"/>
        <v>8</v>
      </c>
      <c r="I22" s="91">
        <f>+Data!A13</f>
        <v>10</v>
      </c>
      <c r="J22" s="3" t="str">
        <f>+Data!B13</f>
        <v>Existing Res buildings 100% HPWH by 2043</v>
      </c>
      <c r="K22" s="26" t="s">
        <v>139</v>
      </c>
      <c r="L22" s="73">
        <f t="shared" si="3"/>
        <v>8</v>
      </c>
      <c r="M22" s="91">
        <f>+Data!A13</f>
        <v>10</v>
      </c>
      <c r="N22" s="3" t="str">
        <f>+Data!B13</f>
        <v>Existing Res buildings 100% HPWH by 2043</v>
      </c>
      <c r="O22" s="26" t="s">
        <v>139</v>
      </c>
      <c r="P22" s="73">
        <f t="shared" si="4"/>
        <v>8</v>
      </c>
      <c r="Q22" s="91">
        <f>+Data!A13</f>
        <v>10</v>
      </c>
      <c r="R22" s="3" t="str">
        <f>+Data!B13</f>
        <v>Existing Res buildings 100% HPWH by 2043</v>
      </c>
      <c r="S22" s="26" t="s">
        <v>29</v>
      </c>
      <c r="T22" s="73">
        <f t="shared" si="1"/>
        <v>0</v>
      </c>
    </row>
    <row r="23" spans="1:21">
      <c r="A23" s="91">
        <f>+Data!A14</f>
        <v>11</v>
      </c>
      <c r="B23" s="3" t="str">
        <f>+Data!B14</f>
        <v>Existing Com buildings 100% HP by 2043</v>
      </c>
      <c r="C23" s="26" t="s">
        <v>27</v>
      </c>
      <c r="D23" s="73">
        <f t="shared" si="0"/>
        <v>10</v>
      </c>
      <c r="E23" s="91">
        <f>+Data!A14</f>
        <v>11</v>
      </c>
      <c r="F23" s="3" t="str">
        <f>+Data!B14</f>
        <v>Existing Com buildings 100% HP by 2043</v>
      </c>
      <c r="G23" s="26" t="s">
        <v>139</v>
      </c>
      <c r="H23" s="73">
        <f t="shared" si="2"/>
        <v>8</v>
      </c>
      <c r="I23" s="91">
        <f>+Data!A14</f>
        <v>11</v>
      </c>
      <c r="J23" s="3" t="str">
        <f>+Data!B14</f>
        <v>Existing Com buildings 100% HP by 2043</v>
      </c>
      <c r="K23" s="26" t="s">
        <v>140</v>
      </c>
      <c r="L23" s="73">
        <f t="shared" si="3"/>
        <v>4</v>
      </c>
      <c r="M23" s="91">
        <f>+Data!A14</f>
        <v>11</v>
      </c>
      <c r="N23" s="3" t="str">
        <f>+Data!B14</f>
        <v>Existing Com buildings 100% HP by 2043</v>
      </c>
      <c r="O23" s="26" t="s">
        <v>139</v>
      </c>
      <c r="P23" s="73">
        <f t="shared" si="4"/>
        <v>8</v>
      </c>
      <c r="Q23" s="91">
        <f>+Data!A14</f>
        <v>11</v>
      </c>
      <c r="R23" s="3" t="str">
        <f>+Data!B14</f>
        <v>Existing Com buildings 100% HP by 2043</v>
      </c>
      <c r="S23" s="26" t="s">
        <v>29</v>
      </c>
      <c r="T23" s="73">
        <f t="shared" si="1"/>
        <v>0</v>
      </c>
    </row>
    <row r="24" spans="1:21">
      <c r="A24" s="91">
        <f>+Data!A15</f>
        <v>12</v>
      </c>
      <c r="B24" s="3" t="str">
        <f>+Data!B15</f>
        <v>Existing Com buildings 100% HPWH by 2043</v>
      </c>
      <c r="C24" s="26" t="s">
        <v>27</v>
      </c>
      <c r="D24" s="73">
        <f t="shared" si="0"/>
        <v>10</v>
      </c>
      <c r="E24" s="91">
        <f>+Data!A15</f>
        <v>12</v>
      </c>
      <c r="F24" s="3" t="str">
        <f>+Data!B15</f>
        <v>Existing Com buildings 100% HPWH by 2043</v>
      </c>
      <c r="G24" s="26" t="s">
        <v>139</v>
      </c>
      <c r="H24" s="73">
        <f t="shared" si="2"/>
        <v>8</v>
      </c>
      <c r="I24" s="91">
        <f>+Data!A15</f>
        <v>12</v>
      </c>
      <c r="J24" s="3" t="str">
        <f>+Data!B15</f>
        <v>Existing Com buildings 100% HPWH by 2043</v>
      </c>
      <c r="K24" s="26" t="s">
        <v>140</v>
      </c>
      <c r="L24" s="73">
        <f t="shared" si="3"/>
        <v>4</v>
      </c>
      <c r="M24" s="91">
        <f>+Data!A15</f>
        <v>12</v>
      </c>
      <c r="N24" s="3" t="str">
        <f>+Data!B15</f>
        <v>Existing Com buildings 100% HPWH by 2043</v>
      </c>
      <c r="O24" s="26" t="s">
        <v>147</v>
      </c>
      <c r="P24" s="73">
        <f t="shared" si="4"/>
        <v>6</v>
      </c>
      <c r="Q24" s="91">
        <f>+Data!A15</f>
        <v>12</v>
      </c>
      <c r="R24" s="3" t="str">
        <f>+Data!B15</f>
        <v>Existing Com buildings 100% HPWH by 2043</v>
      </c>
      <c r="S24" s="26" t="s">
        <v>29</v>
      </c>
      <c r="T24" s="73">
        <f t="shared" si="1"/>
        <v>0</v>
      </c>
    </row>
    <row r="25" spans="1:21">
      <c r="A25" s="91">
        <f>+Data!A16</f>
        <v>13</v>
      </c>
      <c r="B25" s="3" t="str">
        <f>+Data!B16</f>
        <v>Non-CPP Ind EE 50% by 2050</v>
      </c>
      <c r="C25" s="26" t="s">
        <v>147</v>
      </c>
      <c r="D25" s="73">
        <f t="shared" si="0"/>
        <v>6</v>
      </c>
      <c r="E25" s="91">
        <f>+Data!A16</f>
        <v>13</v>
      </c>
      <c r="F25" s="3" t="str">
        <f>+Data!B16</f>
        <v>Non-CPP Ind EE 50% by 2050</v>
      </c>
      <c r="G25" s="26" t="s">
        <v>27</v>
      </c>
      <c r="H25" s="73">
        <f t="shared" si="2"/>
        <v>10</v>
      </c>
      <c r="I25" s="91">
        <f>+Data!A16</f>
        <v>13</v>
      </c>
      <c r="J25" s="3" t="str">
        <f>+Data!B16</f>
        <v>Non-CPP Ind EE 50% by 2050</v>
      </c>
      <c r="K25" s="26" t="s">
        <v>139</v>
      </c>
      <c r="L25" s="73">
        <f t="shared" si="3"/>
        <v>8</v>
      </c>
      <c r="M25" s="91">
        <f>+Data!A16</f>
        <v>13</v>
      </c>
      <c r="N25" s="3" t="str">
        <f>+Data!B16</f>
        <v>Non-CPP Ind EE 50% by 2050</v>
      </c>
      <c r="O25" s="26" t="s">
        <v>147</v>
      </c>
      <c r="P25" s="73">
        <f t="shared" si="4"/>
        <v>6</v>
      </c>
      <c r="Q25" s="91">
        <f>+Data!A16</f>
        <v>13</v>
      </c>
      <c r="R25" s="3" t="str">
        <f>+Data!B16</f>
        <v>Non-CPP Ind EE 50% by 2050</v>
      </c>
      <c r="S25" s="26" t="s">
        <v>29</v>
      </c>
      <c r="T25" s="73">
        <f t="shared" si="1"/>
        <v>0</v>
      </c>
    </row>
    <row r="26" spans="1:21">
      <c r="A26" s="91">
        <f>+Data!A17</f>
        <v>14</v>
      </c>
      <c r="B26" s="3" t="str">
        <f>+Data!B17</f>
        <v>MD/HD Zero Emission Plan</v>
      </c>
      <c r="C26" s="26" t="s">
        <v>140</v>
      </c>
      <c r="D26" s="73">
        <f t="shared" si="0"/>
        <v>4</v>
      </c>
      <c r="E26" s="91">
        <f>+Data!A17</f>
        <v>14</v>
      </c>
      <c r="F26" s="3" t="str">
        <f>+Data!B17</f>
        <v>MD/HD Zero Emission Plan</v>
      </c>
      <c r="G26" s="26" t="s">
        <v>139</v>
      </c>
      <c r="H26" s="73">
        <f t="shared" si="2"/>
        <v>8</v>
      </c>
      <c r="I26" s="91">
        <f>+Data!A17</f>
        <v>14</v>
      </c>
      <c r="J26" s="3" t="str">
        <f>+Data!B17</f>
        <v>MD/HD Zero Emission Plan</v>
      </c>
      <c r="K26" s="26" t="s">
        <v>27</v>
      </c>
      <c r="L26" s="73">
        <f t="shared" si="3"/>
        <v>10</v>
      </c>
      <c r="M26" s="91">
        <f>+Data!A17</f>
        <v>14</v>
      </c>
      <c r="N26" s="3" t="str">
        <f>+Data!B17</f>
        <v>MD/HD Zero Emission Plan</v>
      </c>
      <c r="O26" s="26" t="s">
        <v>139</v>
      </c>
      <c r="P26" s="73">
        <f t="shared" si="4"/>
        <v>8</v>
      </c>
      <c r="Q26" s="91">
        <f>+Data!A17</f>
        <v>14</v>
      </c>
      <c r="R26" s="3" t="str">
        <f>+Data!B17</f>
        <v>MD/HD Zero Emission Plan</v>
      </c>
      <c r="S26" s="26" t="s">
        <v>29</v>
      </c>
      <c r="T26" s="73">
        <f t="shared" si="1"/>
        <v>0</v>
      </c>
    </row>
    <row r="27" spans="1:21">
      <c r="A27" s="91">
        <f>+Data!A18</f>
        <v>15</v>
      </c>
      <c r="B27" s="3" t="str">
        <f>+Data!B18</f>
        <v>10% Mode Shift MD to LD</v>
      </c>
      <c r="C27" s="26" t="s">
        <v>147</v>
      </c>
      <c r="D27" s="73">
        <f t="shared" si="0"/>
        <v>6</v>
      </c>
      <c r="E27" s="91">
        <f>+Data!A18</f>
        <v>15</v>
      </c>
      <c r="F27" s="3" t="str">
        <f>+Data!B18</f>
        <v>10% Mode Shift MD to LD</v>
      </c>
      <c r="G27" s="26" t="s">
        <v>27</v>
      </c>
      <c r="H27" s="73">
        <f t="shared" si="2"/>
        <v>10</v>
      </c>
      <c r="I27" s="91">
        <f>+Data!A18</f>
        <v>15</v>
      </c>
      <c r="J27" s="3" t="str">
        <f>+Data!B18</f>
        <v>10% Mode Shift MD to LD</v>
      </c>
      <c r="K27" s="26" t="s">
        <v>28</v>
      </c>
      <c r="L27" s="73">
        <f t="shared" si="3"/>
        <v>2</v>
      </c>
      <c r="M27" s="91">
        <f>+Data!A18</f>
        <v>15</v>
      </c>
      <c r="N27" s="3" t="str">
        <f>+Data!B18</f>
        <v>10% Mode Shift MD to LD</v>
      </c>
      <c r="O27" s="26" t="s">
        <v>139</v>
      </c>
      <c r="P27" s="73">
        <f t="shared" si="4"/>
        <v>8</v>
      </c>
      <c r="Q27" s="91">
        <f>+Data!A18</f>
        <v>15</v>
      </c>
      <c r="R27" s="3" t="str">
        <f>+Data!B18</f>
        <v>10% Mode Shift MD to LD</v>
      </c>
      <c r="S27" s="26" t="s">
        <v>30</v>
      </c>
      <c r="T27" s="73">
        <f t="shared" si="1"/>
        <v>5</v>
      </c>
    </row>
    <row r="28" spans="1:21">
      <c r="A28" s="91">
        <f>+Data!A19</f>
        <v>16</v>
      </c>
      <c r="B28" s="3" t="str">
        <f>+Data!B19</f>
        <v>10% Micro-mobility by 2035</v>
      </c>
      <c r="C28" s="26" t="s">
        <v>27</v>
      </c>
      <c r="D28" s="73">
        <f t="shared" si="0"/>
        <v>10</v>
      </c>
      <c r="E28" s="91">
        <f>+Data!A19</f>
        <v>16</v>
      </c>
      <c r="F28" s="3" t="str">
        <f>+Data!B19</f>
        <v>10% Micro-mobility by 2035</v>
      </c>
      <c r="G28" s="26" t="s">
        <v>27</v>
      </c>
      <c r="H28" s="73">
        <f t="shared" si="2"/>
        <v>10</v>
      </c>
      <c r="I28" s="91">
        <f>+Data!A19</f>
        <v>16</v>
      </c>
      <c r="J28" s="3" t="str">
        <f>+Data!B19</f>
        <v>10% Micro-mobility by 2035</v>
      </c>
      <c r="K28" s="26" t="s">
        <v>140</v>
      </c>
      <c r="L28" s="73">
        <f t="shared" si="3"/>
        <v>4</v>
      </c>
      <c r="M28" s="91">
        <f>+Data!A19</f>
        <v>16</v>
      </c>
      <c r="N28" s="3" t="str">
        <f>+Data!B19</f>
        <v>10% Micro-mobility by 2035</v>
      </c>
      <c r="O28" s="26" t="s">
        <v>139</v>
      </c>
      <c r="P28" s="73">
        <f t="shared" si="4"/>
        <v>8</v>
      </c>
      <c r="Q28" s="91">
        <f>+Data!A19</f>
        <v>16</v>
      </c>
      <c r="R28" s="3" t="str">
        <f>+Data!B19</f>
        <v>10% Micro-mobility by 2035</v>
      </c>
      <c r="S28" s="26" t="s">
        <v>30</v>
      </c>
      <c r="T28" s="73">
        <f t="shared" si="1"/>
        <v>5</v>
      </c>
    </row>
    <row r="29" spans="1:21">
      <c r="A29" s="91">
        <f>+Data!A20</f>
        <v>17</v>
      </c>
      <c r="B29" s="3" t="str">
        <f>+Data!B20</f>
        <v>Increase Amtrak Ridership</v>
      </c>
      <c r="C29" s="26" t="s">
        <v>27</v>
      </c>
      <c r="D29" s="73">
        <f t="shared" si="0"/>
        <v>10</v>
      </c>
      <c r="E29" s="91">
        <f>+Data!A20</f>
        <v>17</v>
      </c>
      <c r="F29" s="3" t="str">
        <f>+Data!B20</f>
        <v>Increase Amtrak Ridership</v>
      </c>
      <c r="G29" s="26" t="s">
        <v>147</v>
      </c>
      <c r="H29" s="73">
        <f t="shared" si="2"/>
        <v>6</v>
      </c>
      <c r="I29" s="91">
        <f>+Data!A20</f>
        <v>17</v>
      </c>
      <c r="J29" s="3" t="str">
        <f>+Data!B20</f>
        <v>Increase Amtrak Ridership</v>
      </c>
      <c r="K29" s="26" t="s">
        <v>140</v>
      </c>
      <c r="L29" s="73">
        <f t="shared" si="3"/>
        <v>4</v>
      </c>
      <c r="M29" s="91">
        <f>+Data!A20</f>
        <v>17</v>
      </c>
      <c r="N29" s="3" t="str">
        <f>+Data!B20</f>
        <v>Increase Amtrak Ridership</v>
      </c>
      <c r="O29" s="26" t="s">
        <v>139</v>
      </c>
      <c r="P29" s="73">
        <f t="shared" si="4"/>
        <v>8</v>
      </c>
      <c r="Q29" s="91">
        <f>+Data!A20</f>
        <v>17</v>
      </c>
      <c r="R29" s="3" t="str">
        <f>+Data!B20</f>
        <v>Increase Amtrak Ridership</v>
      </c>
      <c r="S29" s="26" t="s">
        <v>30</v>
      </c>
      <c r="T29" s="73">
        <f t="shared" si="1"/>
        <v>5</v>
      </c>
    </row>
    <row r="30" spans="1:21">
      <c r="A30" s="91">
        <f>+Data!A21</f>
        <v>18</v>
      </c>
      <c r="B30" s="3" t="str">
        <f>+Data!B21</f>
        <v>Carshare Increases by 2035</v>
      </c>
      <c r="C30" s="26" t="s">
        <v>27</v>
      </c>
      <c r="D30" s="73">
        <f t="shared" si="0"/>
        <v>10</v>
      </c>
      <c r="E30" s="91">
        <f>+Data!A21</f>
        <v>18</v>
      </c>
      <c r="F30" s="3" t="str">
        <f>+Data!B21</f>
        <v>Carshare Increases by 2035</v>
      </c>
      <c r="G30" s="26" t="s">
        <v>139</v>
      </c>
      <c r="H30" s="73">
        <f t="shared" si="2"/>
        <v>8</v>
      </c>
      <c r="I30" s="91">
        <f>+Data!A21</f>
        <v>18</v>
      </c>
      <c r="J30" s="3" t="str">
        <f>+Data!B21</f>
        <v>Carshare Increases by 2035</v>
      </c>
      <c r="K30" s="26" t="s">
        <v>147</v>
      </c>
      <c r="L30" s="73">
        <f t="shared" si="3"/>
        <v>6</v>
      </c>
      <c r="M30" s="91">
        <f>+Data!A21</f>
        <v>18</v>
      </c>
      <c r="N30" s="3" t="str">
        <f>+Data!B21</f>
        <v>Carshare Increases by 2035</v>
      </c>
      <c r="O30" s="26" t="s">
        <v>139</v>
      </c>
      <c r="P30" s="73">
        <f t="shared" si="4"/>
        <v>8</v>
      </c>
      <c r="Q30" s="91">
        <f>+Data!A21</f>
        <v>18</v>
      </c>
      <c r="R30" s="3" t="str">
        <f>+Data!B21</f>
        <v>Carshare Increases by 2035</v>
      </c>
      <c r="S30" s="26" t="s">
        <v>30</v>
      </c>
      <c r="T30" s="73">
        <f t="shared" si="1"/>
        <v>5</v>
      </c>
      <c r="U30" t="s">
        <v>185</v>
      </c>
    </row>
    <row r="31" spans="1:21">
      <c r="A31" s="91">
        <f>+Data!A22</f>
        <v>19</v>
      </c>
      <c r="B31" s="3" t="str">
        <f>+Data!B22</f>
        <v>Congestion Pricing</v>
      </c>
      <c r="C31" s="26" t="s">
        <v>139</v>
      </c>
      <c r="D31" s="73">
        <f t="shared" si="0"/>
        <v>8</v>
      </c>
      <c r="E31" s="91">
        <f>+Data!A22</f>
        <v>19</v>
      </c>
      <c r="F31" s="3" t="str">
        <f>+Data!B22</f>
        <v>Congestion Pricing</v>
      </c>
      <c r="G31" s="26" t="s">
        <v>27</v>
      </c>
      <c r="H31" s="73">
        <f t="shared" si="2"/>
        <v>10</v>
      </c>
      <c r="I31" s="91">
        <f>+Data!A22</f>
        <v>19</v>
      </c>
      <c r="J31" s="3" t="str">
        <f>+Data!B22</f>
        <v>Congestion Pricing</v>
      </c>
      <c r="K31" s="26" t="s">
        <v>28</v>
      </c>
      <c r="L31" s="73">
        <f t="shared" si="3"/>
        <v>2</v>
      </c>
      <c r="M31" s="91">
        <f>+Data!A22</f>
        <v>19</v>
      </c>
      <c r="N31" s="3" t="str">
        <f>+Data!B22</f>
        <v>Congestion Pricing</v>
      </c>
      <c r="O31" s="26" t="s">
        <v>139</v>
      </c>
      <c r="P31" s="73">
        <f t="shared" si="4"/>
        <v>8</v>
      </c>
      <c r="Q31" s="91">
        <f>+Data!A22</f>
        <v>19</v>
      </c>
      <c r="R31" s="3" t="str">
        <f>+Data!B22</f>
        <v>Congestion Pricing</v>
      </c>
      <c r="S31" s="26" t="s">
        <v>30</v>
      </c>
      <c r="T31" s="73">
        <f t="shared" si="1"/>
        <v>5</v>
      </c>
    </row>
    <row r="32" spans="1:21">
      <c r="A32" s="91">
        <f>+Data!A23</f>
        <v>20</v>
      </c>
      <c r="B32" s="3" t="str">
        <f>+Data!B23</f>
        <v>Water Systems EE 20% by 2035</v>
      </c>
      <c r="C32" s="26" t="s">
        <v>27</v>
      </c>
      <c r="D32" s="73">
        <f t="shared" si="0"/>
        <v>10</v>
      </c>
      <c r="E32" s="91">
        <f>+Data!A23</f>
        <v>20</v>
      </c>
      <c r="F32" s="3" t="str">
        <f>+Data!B23</f>
        <v>Water Systems EE 20% by 2035</v>
      </c>
      <c r="G32" s="26" t="s">
        <v>27</v>
      </c>
      <c r="H32" s="73">
        <f t="shared" si="2"/>
        <v>10</v>
      </c>
      <c r="I32" s="91">
        <f>+Data!A23</f>
        <v>20</v>
      </c>
      <c r="J32" s="3" t="str">
        <f>+Data!B23</f>
        <v>Water Systems EE 20% by 2035</v>
      </c>
      <c r="K32" s="26" t="s">
        <v>140</v>
      </c>
      <c r="L32" s="73">
        <f t="shared" si="3"/>
        <v>4</v>
      </c>
      <c r="M32" s="91">
        <f>+Data!A23</f>
        <v>20</v>
      </c>
      <c r="N32" s="3" t="str">
        <f>+Data!B23</f>
        <v>Water Systems EE 20% by 2035</v>
      </c>
      <c r="O32" s="26" t="s">
        <v>139</v>
      </c>
      <c r="P32" s="73">
        <f t="shared" si="4"/>
        <v>8</v>
      </c>
      <c r="Q32" s="91">
        <f>+Data!A23</f>
        <v>20</v>
      </c>
      <c r="R32" s="3" t="str">
        <f>+Data!B23</f>
        <v>Water Systems EE 20% by 2035</v>
      </c>
      <c r="S32" s="26" t="s">
        <v>30</v>
      </c>
      <c r="T32" s="73">
        <f t="shared" si="1"/>
        <v>5</v>
      </c>
    </row>
    <row r="33" spans="1:20">
      <c r="A33" s="91">
        <f>+Data!A24</f>
        <v>21</v>
      </c>
      <c r="B33" s="3" t="str">
        <f>+Data!B24</f>
        <v>Food Waste Program</v>
      </c>
      <c r="C33" s="26" t="s">
        <v>139</v>
      </c>
      <c r="D33" s="73">
        <f t="shared" si="0"/>
        <v>8</v>
      </c>
      <c r="E33" s="91">
        <f>+Data!A24</f>
        <v>21</v>
      </c>
      <c r="F33" s="3" t="str">
        <f>+Data!B24</f>
        <v>Food Waste Program</v>
      </c>
      <c r="G33" s="26" t="s">
        <v>147</v>
      </c>
      <c r="H33" s="73">
        <f t="shared" si="2"/>
        <v>6</v>
      </c>
      <c r="I33" s="91">
        <f>+Data!A24</f>
        <v>21</v>
      </c>
      <c r="J33" s="3" t="str">
        <f>+Data!B24</f>
        <v>Food Waste Program</v>
      </c>
      <c r="K33" s="26" t="s">
        <v>147</v>
      </c>
      <c r="L33" s="73">
        <f t="shared" si="3"/>
        <v>6</v>
      </c>
      <c r="M33" s="91">
        <f>+Data!A24</f>
        <v>21</v>
      </c>
      <c r="N33" s="3" t="str">
        <f>+Data!B24</f>
        <v>Food Waste Program</v>
      </c>
      <c r="O33" s="26" t="s">
        <v>147</v>
      </c>
      <c r="P33" s="73">
        <f t="shared" si="4"/>
        <v>6</v>
      </c>
      <c r="Q33" s="91">
        <f>+Data!A24</f>
        <v>21</v>
      </c>
      <c r="R33" s="3" t="str">
        <f>+Data!B24</f>
        <v>Food Waste Program</v>
      </c>
      <c r="S33" s="26" t="s">
        <v>30</v>
      </c>
      <c r="T33" s="73">
        <f t="shared" si="1"/>
        <v>5</v>
      </c>
    </row>
    <row r="34" spans="1:20">
      <c r="A34" s="91">
        <f>+Data!A25</f>
        <v>22</v>
      </c>
      <c r="B34" s="3" t="str">
        <f>+Data!B25</f>
        <v>Ind RH2 70% by 2050</v>
      </c>
      <c r="C34" s="26" t="s">
        <v>27</v>
      </c>
      <c r="D34" s="73">
        <f t="shared" si="0"/>
        <v>10</v>
      </c>
      <c r="E34" s="91">
        <f>+Data!A25</f>
        <v>22</v>
      </c>
      <c r="F34" s="3" t="str">
        <f>+Data!B25</f>
        <v>Ind RH2 70% by 2050</v>
      </c>
      <c r="G34" s="26" t="s">
        <v>139</v>
      </c>
      <c r="H34" s="73">
        <f t="shared" si="2"/>
        <v>8</v>
      </c>
      <c r="I34" s="91">
        <f>+Data!A25</f>
        <v>22</v>
      </c>
      <c r="J34" s="3" t="str">
        <f>+Data!B25</f>
        <v>Ind RH2 70% by 2050</v>
      </c>
      <c r="K34" s="26" t="s">
        <v>147</v>
      </c>
      <c r="L34" s="73">
        <f t="shared" si="3"/>
        <v>6</v>
      </c>
      <c r="M34" s="91">
        <f>+Data!A25</f>
        <v>22</v>
      </c>
      <c r="N34" s="3" t="str">
        <f>+Data!B25</f>
        <v>Ind RH2 70% by 2050</v>
      </c>
      <c r="O34" s="26" t="s">
        <v>147</v>
      </c>
      <c r="P34" s="73">
        <f t="shared" si="4"/>
        <v>6</v>
      </c>
      <c r="Q34" s="91">
        <f>+Data!A25</f>
        <v>22</v>
      </c>
      <c r="R34" s="3" t="str">
        <f>+Data!B25</f>
        <v>Ind RH2 70% by 2050</v>
      </c>
      <c r="S34" s="26" t="s">
        <v>30</v>
      </c>
      <c r="T34" s="73">
        <f t="shared" si="1"/>
        <v>5</v>
      </c>
    </row>
    <row r="35" spans="1:20">
      <c r="A35" s="91">
        <f>+Data!A26</f>
        <v>23</v>
      </c>
      <c r="B35" s="3" t="str">
        <f>+Data!B26</f>
        <v>RNG Full Potential by 2050</v>
      </c>
      <c r="C35" s="26" t="s">
        <v>27</v>
      </c>
      <c r="D35" s="73">
        <f t="shared" si="0"/>
        <v>10</v>
      </c>
      <c r="E35" s="91">
        <f>+Data!A26</f>
        <v>23</v>
      </c>
      <c r="F35" s="3" t="str">
        <f>+Data!B26</f>
        <v>RNG Full Potential by 2050</v>
      </c>
      <c r="G35" s="26" t="s">
        <v>139</v>
      </c>
      <c r="H35" s="73">
        <f t="shared" si="2"/>
        <v>8</v>
      </c>
      <c r="I35" s="91">
        <f>+Data!A26</f>
        <v>23</v>
      </c>
      <c r="J35" s="3" t="str">
        <f>+Data!B26</f>
        <v>RNG Full Potential by 2050</v>
      </c>
      <c r="K35" s="26" t="s">
        <v>139</v>
      </c>
      <c r="L35" s="73">
        <f t="shared" si="3"/>
        <v>8</v>
      </c>
      <c r="M35" s="91">
        <f>+Data!A26</f>
        <v>23</v>
      </c>
      <c r="N35" s="3" t="str">
        <f>+Data!B26</f>
        <v>RNG Full Potential by 2050</v>
      </c>
      <c r="O35" s="26" t="s">
        <v>147</v>
      </c>
      <c r="P35" s="73">
        <f t="shared" si="4"/>
        <v>6</v>
      </c>
      <c r="Q35" s="91">
        <f>+Data!A26</f>
        <v>23</v>
      </c>
      <c r="R35" s="3" t="str">
        <f>+Data!B26</f>
        <v>RNG Full Potential by 2050</v>
      </c>
      <c r="S35" s="26" t="s">
        <v>30</v>
      </c>
      <c r="T35" s="73">
        <f t="shared" si="1"/>
        <v>5</v>
      </c>
    </row>
    <row r="36" spans="1:20">
      <c r="A36" s="91">
        <f>+Data!A27</f>
        <v>24</v>
      </c>
      <c r="B36" s="3" t="str">
        <f>+Data!B27</f>
        <v>RH2 Injection 15% by 2035</v>
      </c>
      <c r="C36" s="26" t="s">
        <v>139</v>
      </c>
      <c r="D36" s="73">
        <f t="shared" si="0"/>
        <v>8</v>
      </c>
      <c r="E36" s="91">
        <f>+Data!A27</f>
        <v>24</v>
      </c>
      <c r="F36" s="3" t="str">
        <f>+Data!B27</f>
        <v>RH2 Injection 15% by 2035</v>
      </c>
      <c r="G36" s="26" t="s">
        <v>147</v>
      </c>
      <c r="H36" s="73">
        <f t="shared" si="2"/>
        <v>6</v>
      </c>
      <c r="I36" s="91">
        <f>+Data!A27</f>
        <v>24</v>
      </c>
      <c r="J36" s="3" t="str">
        <f>+Data!B27</f>
        <v>RH2 Injection 15% by 2035</v>
      </c>
      <c r="K36" s="26" t="s">
        <v>28</v>
      </c>
      <c r="L36" s="73">
        <f t="shared" si="3"/>
        <v>2</v>
      </c>
      <c r="M36" s="91">
        <f>+Data!A27</f>
        <v>24</v>
      </c>
      <c r="N36" s="3" t="str">
        <f>+Data!B27</f>
        <v>RH2 Injection 15% by 2035</v>
      </c>
      <c r="O36" s="26" t="s">
        <v>147</v>
      </c>
      <c r="P36" s="73">
        <f t="shared" si="4"/>
        <v>6</v>
      </c>
      <c r="Q36" s="91">
        <f>+Data!A27</f>
        <v>24</v>
      </c>
      <c r="R36" s="3" t="str">
        <f>+Data!B27</f>
        <v>RH2 Injection 15% by 2035</v>
      </c>
      <c r="S36" s="26" t="s">
        <v>30</v>
      </c>
      <c r="T36" s="73">
        <f t="shared" si="1"/>
        <v>5</v>
      </c>
    </row>
    <row r="37" spans="1:20">
      <c r="A37" s="91">
        <f>+Data!A28</f>
        <v>25</v>
      </c>
      <c r="B37" s="3" t="str">
        <f>+Data!B28</f>
        <v>Home Fuel Cells 5% by 2030</v>
      </c>
      <c r="C37" s="26" t="s">
        <v>139</v>
      </c>
      <c r="D37" s="73">
        <f t="shared" si="0"/>
        <v>8</v>
      </c>
      <c r="E37" s="91">
        <f>+Data!A28</f>
        <v>25</v>
      </c>
      <c r="F37" s="3" t="str">
        <f>+Data!B28</f>
        <v>Home Fuel Cells 5% by 2030</v>
      </c>
      <c r="G37" s="26" t="s">
        <v>140</v>
      </c>
      <c r="H37" s="73">
        <f t="shared" si="2"/>
        <v>4</v>
      </c>
      <c r="I37" s="91">
        <f>+Data!A28</f>
        <v>25</v>
      </c>
      <c r="J37" s="3" t="str">
        <f>+Data!B28</f>
        <v>Home Fuel Cells 5% by 2030</v>
      </c>
      <c r="K37" s="26" t="s">
        <v>140</v>
      </c>
      <c r="L37" s="73">
        <f t="shared" si="3"/>
        <v>4</v>
      </c>
      <c r="M37" s="91">
        <f>+Data!A28</f>
        <v>25</v>
      </c>
      <c r="N37" s="3" t="str">
        <f>+Data!B28</f>
        <v>Home Fuel Cells 5% by 2030</v>
      </c>
      <c r="O37" s="26" t="s">
        <v>147</v>
      </c>
      <c r="P37" s="73">
        <f t="shared" si="4"/>
        <v>6</v>
      </c>
      <c r="Q37" s="91">
        <f>+Data!A28</f>
        <v>25</v>
      </c>
      <c r="R37" s="3" t="str">
        <f>+Data!B28</f>
        <v>Home Fuel Cells 5% by 2030</v>
      </c>
      <c r="S37" s="26" t="s">
        <v>30</v>
      </c>
      <c r="T37" s="73">
        <f t="shared" si="1"/>
        <v>5</v>
      </c>
    </row>
    <row r="40" spans="1:20">
      <c r="B40" s="323" t="s">
        <v>279</v>
      </c>
    </row>
    <row r="41" spans="1:20" ht="15" customHeight="1">
      <c r="B41" s="331" t="s">
        <v>314</v>
      </c>
      <c r="C41" s="331"/>
      <c r="D41" s="331"/>
      <c r="E41" s="331"/>
      <c r="F41" s="331"/>
      <c r="G41" s="319"/>
      <c r="H41" s="319"/>
      <c r="I41" s="319"/>
      <c r="J41" s="319"/>
      <c r="K41" s="319"/>
      <c r="L41" s="319"/>
      <c r="M41" s="319"/>
      <c r="N41" s="319"/>
      <c r="O41" s="319"/>
      <c r="P41" s="319"/>
      <c r="Q41" s="319"/>
      <c r="R41" s="319"/>
      <c r="S41" s="319"/>
      <c r="T41" s="319"/>
    </row>
    <row r="42" spans="1:20">
      <c r="B42" s="15" t="s">
        <v>205</v>
      </c>
      <c r="F42" s="15" t="s">
        <v>282</v>
      </c>
      <c r="J42" s="15" t="s">
        <v>202</v>
      </c>
      <c r="N42" s="15" t="s">
        <v>204</v>
      </c>
      <c r="R42" s="15" t="s">
        <v>203</v>
      </c>
    </row>
    <row r="43" spans="1:20" ht="15" customHeight="1">
      <c r="B43" s="332" t="s">
        <v>283</v>
      </c>
      <c r="C43" s="332"/>
      <c r="D43" s="332"/>
      <c r="F43" s="332" t="s">
        <v>284</v>
      </c>
      <c r="G43" s="332"/>
      <c r="H43" s="332"/>
      <c r="J43" s="321" t="s">
        <v>315</v>
      </c>
      <c r="K43" s="321"/>
      <c r="L43" s="321"/>
      <c r="N43" s="316" t="s">
        <v>285</v>
      </c>
      <c r="O43" s="316"/>
      <c r="P43" s="316"/>
      <c r="R43" s="321" t="s">
        <v>286</v>
      </c>
      <c r="S43" s="321"/>
      <c r="T43" s="321"/>
    </row>
    <row r="44" spans="1:20">
      <c r="B44" s="333" t="s">
        <v>287</v>
      </c>
      <c r="F44" s="333" t="s">
        <v>288</v>
      </c>
      <c r="J44" t="s">
        <v>289</v>
      </c>
      <c r="N44" t="s">
        <v>290</v>
      </c>
      <c r="R44" t="s">
        <v>291</v>
      </c>
    </row>
    <row r="45" spans="1:20">
      <c r="B45" s="333" t="s">
        <v>292</v>
      </c>
      <c r="F45" s="333" t="s">
        <v>293</v>
      </c>
      <c r="J45" t="s">
        <v>294</v>
      </c>
      <c r="R45" t="s">
        <v>295</v>
      </c>
    </row>
    <row r="46" spans="1:20">
      <c r="B46" s="333" t="s">
        <v>296</v>
      </c>
      <c r="F46" s="333" t="s">
        <v>297</v>
      </c>
      <c r="J46" s="333" t="s">
        <v>298</v>
      </c>
    </row>
    <row r="47" spans="1:20" ht="15" customHeight="1">
      <c r="F47" s="333" t="s">
        <v>299</v>
      </c>
      <c r="J47" s="332" t="s">
        <v>300</v>
      </c>
      <c r="K47" s="321"/>
    </row>
    <row r="48" spans="1:20">
      <c r="J48" s="333" t="s">
        <v>301</v>
      </c>
      <c r="K48" s="99"/>
    </row>
    <row r="49" spans="2:18">
      <c r="J49" s="333" t="s">
        <v>302</v>
      </c>
      <c r="R49" t="s">
        <v>303</v>
      </c>
    </row>
    <row r="50" spans="2:18">
      <c r="J50" s="334" t="s">
        <v>304</v>
      </c>
    </row>
    <row r="51" spans="2:18">
      <c r="J51" s="333" t="s">
        <v>305</v>
      </c>
    </row>
    <row r="52" spans="2:18">
      <c r="B52" s="323"/>
    </row>
    <row r="53" spans="2:18" ht="30">
      <c r="B53" s="323"/>
      <c r="G53" s="15"/>
      <c r="H53" s="61" t="s">
        <v>281</v>
      </c>
      <c r="I53" s="15"/>
      <c r="J53" s="15"/>
      <c r="K53" s="61" t="s">
        <v>280</v>
      </c>
    </row>
    <row r="54" spans="2:18" ht="30">
      <c r="G54" s="106" t="s">
        <v>200</v>
      </c>
      <c r="H54" s="107" t="s">
        <v>201</v>
      </c>
      <c r="I54" s="68" t="s">
        <v>61</v>
      </c>
      <c r="J54" s="106" t="s">
        <v>112</v>
      </c>
      <c r="K54" s="107" t="str">
        <f>+Data!H3</f>
        <v>Cumulative Net Cost/Benefit</v>
      </c>
      <c r="M54" s="87" t="s">
        <v>61</v>
      </c>
      <c r="N54" s="87" t="s">
        <v>112</v>
      </c>
      <c r="O54" s="61" t="str">
        <f>+Data!E3</f>
        <v>Cumulative Capital Cost</v>
      </c>
      <c r="P54" s="87"/>
    </row>
    <row r="55" spans="2:18">
      <c r="G55" s="329" t="s">
        <v>196</v>
      </c>
      <c r="H55" s="3"/>
      <c r="I55" s="3">
        <v>14</v>
      </c>
      <c r="J55" s="329" t="s">
        <v>82</v>
      </c>
      <c r="K55" s="62">
        <v>-48000000000</v>
      </c>
      <c r="L55" s="104"/>
      <c r="M55" s="3">
        <f>+Data!A5</f>
        <v>2</v>
      </c>
      <c r="N55" s="3" t="str">
        <f>+Data!B5</f>
        <v>Higher Urban Res Density</v>
      </c>
      <c r="O55" s="62">
        <v>-27500000000</v>
      </c>
      <c r="P55" s="329" t="s">
        <v>27</v>
      </c>
    </row>
    <row r="56" spans="2:18">
      <c r="G56" s="329"/>
      <c r="H56" s="3" t="s">
        <v>193</v>
      </c>
      <c r="I56" s="3">
        <v>2</v>
      </c>
      <c r="J56" s="329" t="s">
        <v>66</v>
      </c>
      <c r="K56" s="62">
        <v>-39300000000</v>
      </c>
      <c r="L56" s="104"/>
      <c r="M56" s="3">
        <f>+Data!A24</f>
        <v>21</v>
      </c>
      <c r="N56" s="3" t="str">
        <f>+Data!B24</f>
        <v>Food Waste Program</v>
      </c>
      <c r="O56" s="330">
        <v>-96000000</v>
      </c>
      <c r="P56" s="3" t="s">
        <v>147</v>
      </c>
    </row>
    <row r="57" spans="2:18">
      <c r="G57" s="329"/>
      <c r="H57" s="3" t="s">
        <v>193</v>
      </c>
      <c r="I57" s="3">
        <v>8</v>
      </c>
      <c r="J57" s="329" t="s">
        <v>71</v>
      </c>
      <c r="K57" s="62">
        <v>-25200000000</v>
      </c>
      <c r="L57" s="104"/>
      <c r="M57" s="3">
        <f>+Data!A4</f>
        <v>1</v>
      </c>
      <c r="N57" s="3" t="str">
        <f>+Data!B4</f>
        <v>Reduced Res Floor Area</v>
      </c>
      <c r="O57" s="62">
        <v>0</v>
      </c>
      <c r="P57" s="329" t="s">
        <v>27</v>
      </c>
    </row>
    <row r="58" spans="2:18">
      <c r="G58" s="329"/>
      <c r="H58" s="3" t="s">
        <v>192</v>
      </c>
      <c r="I58" s="3">
        <v>1</v>
      </c>
      <c r="J58" s="329" t="s">
        <v>65</v>
      </c>
      <c r="K58" s="62">
        <v>-18000000000</v>
      </c>
      <c r="L58" s="104"/>
      <c r="M58" s="3">
        <f>+Data!A18</f>
        <v>15</v>
      </c>
      <c r="N58" s="3" t="str">
        <f>+Data!B18</f>
        <v>10% Mode Shift MD to LD</v>
      </c>
      <c r="O58" s="62">
        <v>2900000</v>
      </c>
      <c r="P58" s="3" t="s">
        <v>139</v>
      </c>
    </row>
    <row r="59" spans="2:18">
      <c r="G59" s="329"/>
      <c r="H59" s="3" t="s">
        <v>193</v>
      </c>
      <c r="I59" s="3">
        <v>7</v>
      </c>
      <c r="J59" s="329" t="s">
        <v>69</v>
      </c>
      <c r="K59" s="62">
        <v>-11200000000</v>
      </c>
      <c r="L59" s="104"/>
      <c r="M59" s="3">
        <f>+Data!A23</f>
        <v>20</v>
      </c>
      <c r="N59" s="3" t="str">
        <f>+Data!B23</f>
        <v>Water Systems EE 20% by 2035</v>
      </c>
      <c r="O59" s="62">
        <v>4000000</v>
      </c>
      <c r="P59" s="3" t="s">
        <v>139</v>
      </c>
    </row>
    <row r="60" spans="2:18">
      <c r="G60" s="3" t="s">
        <v>197</v>
      </c>
      <c r="H60" s="3"/>
      <c r="I60" s="3">
        <v>13</v>
      </c>
      <c r="J60" s="3" t="s">
        <v>109</v>
      </c>
      <c r="K60" s="62">
        <v>-8000000000</v>
      </c>
      <c r="L60" s="104"/>
      <c r="M60" s="3">
        <f>+Data!A9</f>
        <v>6</v>
      </c>
      <c r="N60" s="3" t="str">
        <f>+Data!B9</f>
        <v>100% Elec HP &amp; 50% WH in New Com by 2025</v>
      </c>
      <c r="O60" s="62">
        <v>60000000</v>
      </c>
      <c r="P60" s="3" t="s">
        <v>139</v>
      </c>
    </row>
    <row r="61" spans="2:18">
      <c r="G61" s="3"/>
      <c r="H61" s="3"/>
      <c r="I61" s="3">
        <v>23</v>
      </c>
      <c r="J61" s="3" t="s">
        <v>95</v>
      </c>
      <c r="K61" s="62">
        <v>-6200000000</v>
      </c>
      <c r="L61" s="104"/>
      <c r="M61" s="3">
        <f>+Data!A19</f>
        <v>16</v>
      </c>
      <c r="N61" s="3" t="str">
        <f>+Data!B19</f>
        <v>10% Micro-mobility by 2035</v>
      </c>
      <c r="O61" s="62">
        <v>100000000</v>
      </c>
      <c r="P61" s="3" t="s">
        <v>139</v>
      </c>
    </row>
    <row r="62" spans="2:18">
      <c r="G62" s="3"/>
      <c r="H62" s="3"/>
      <c r="I62" s="3">
        <v>3</v>
      </c>
      <c r="J62" s="3" t="s">
        <v>67</v>
      </c>
      <c r="K62" s="62">
        <v>-5300000000</v>
      </c>
      <c r="L62" s="104"/>
      <c r="M62" s="3">
        <f>+Data!A13</f>
        <v>10</v>
      </c>
      <c r="N62" s="3" t="str">
        <f>+Data!B13</f>
        <v>Existing Res buildings 100% HPWH by 2043</v>
      </c>
      <c r="O62" s="62">
        <v>200000000</v>
      </c>
      <c r="P62" s="3" t="s">
        <v>139</v>
      </c>
    </row>
    <row r="63" spans="2:18">
      <c r="G63" s="3"/>
      <c r="H63" s="3" t="s">
        <v>195</v>
      </c>
      <c r="I63" s="3">
        <v>17</v>
      </c>
      <c r="J63" s="3" t="s">
        <v>86</v>
      </c>
      <c r="K63" s="62">
        <v>-4922000000</v>
      </c>
      <c r="L63" s="104"/>
      <c r="M63" s="3">
        <f>+Data!A17</f>
        <v>14</v>
      </c>
      <c r="N63" s="3" t="str">
        <f>+Data!B17</f>
        <v>MD/HD Zero Emission Plan</v>
      </c>
      <c r="O63" s="62">
        <v>400000000</v>
      </c>
      <c r="P63" s="3" t="s">
        <v>139</v>
      </c>
    </row>
    <row r="64" spans="2:18">
      <c r="G64" s="3"/>
      <c r="H64" s="3" t="s">
        <v>195</v>
      </c>
      <c r="I64" s="3">
        <v>16</v>
      </c>
      <c r="J64" s="3" t="s">
        <v>84</v>
      </c>
      <c r="K64" s="62">
        <v>-4900000000</v>
      </c>
      <c r="L64" s="104"/>
      <c r="M64" s="3">
        <f>+Data!A22</f>
        <v>19</v>
      </c>
      <c r="N64" s="3" t="str">
        <f>+Data!B22</f>
        <v>Congestion Pricing</v>
      </c>
      <c r="O64" s="62">
        <v>627000000</v>
      </c>
      <c r="P64" s="3" t="s">
        <v>139</v>
      </c>
    </row>
    <row r="65" spans="7:16">
      <c r="G65" s="3"/>
      <c r="H65" s="3"/>
      <c r="I65" s="3">
        <v>10</v>
      </c>
      <c r="J65" s="3" t="s">
        <v>74</v>
      </c>
      <c r="K65" s="62">
        <v>-4000000000</v>
      </c>
      <c r="L65" s="104"/>
      <c r="M65" s="3">
        <f>+Data!A14</f>
        <v>11</v>
      </c>
      <c r="N65" s="3" t="str">
        <f>+Data!B14</f>
        <v>Existing Com buildings 100% HP by 2043</v>
      </c>
      <c r="O65" s="62">
        <v>700000000</v>
      </c>
      <c r="P65" s="3" t="s">
        <v>139</v>
      </c>
    </row>
    <row r="66" spans="7:16">
      <c r="G66" s="3"/>
      <c r="H66" s="3" t="s">
        <v>195</v>
      </c>
      <c r="I66" s="3">
        <v>18</v>
      </c>
      <c r="J66" s="3" t="s">
        <v>87</v>
      </c>
      <c r="K66" s="62">
        <v>-3340000000</v>
      </c>
      <c r="L66" s="104"/>
      <c r="M66" s="3">
        <f>+Data!A20</f>
        <v>17</v>
      </c>
      <c r="N66" s="3" t="str">
        <f>+Data!B20</f>
        <v>Increase Amtrak Ridership</v>
      </c>
      <c r="O66" s="62">
        <v>1040000000</v>
      </c>
      <c r="P66" s="3" t="s">
        <v>139</v>
      </c>
    </row>
    <row r="67" spans="7:16">
      <c r="G67" s="329" t="s">
        <v>198</v>
      </c>
      <c r="H67" s="329" t="s">
        <v>194</v>
      </c>
      <c r="I67" s="3">
        <v>15</v>
      </c>
      <c r="J67" s="329" t="s">
        <v>110</v>
      </c>
      <c r="K67" s="62">
        <v>-1497100000</v>
      </c>
      <c r="L67" s="104"/>
      <c r="M67" s="3">
        <f>+Data!A21</f>
        <v>18</v>
      </c>
      <c r="N67" s="3" t="str">
        <f>+Data!B21</f>
        <v>Carshare Increases by 2035</v>
      </c>
      <c r="O67" s="62">
        <v>2060000000</v>
      </c>
      <c r="P67" s="3" t="s">
        <v>139</v>
      </c>
    </row>
    <row r="68" spans="7:16">
      <c r="G68" s="329"/>
      <c r="H68" s="329"/>
      <c r="I68" s="3">
        <v>22</v>
      </c>
      <c r="J68" s="329" t="s">
        <v>93</v>
      </c>
      <c r="K68" s="62">
        <v>-1200000000</v>
      </c>
      <c r="L68" s="104"/>
      <c r="M68" s="3">
        <f>+Data!A15</f>
        <v>12</v>
      </c>
      <c r="N68" s="3" t="str">
        <f>+Data!B15</f>
        <v>Existing Com buildings 100% HPWH by 2043</v>
      </c>
      <c r="O68" s="62">
        <v>3900000000</v>
      </c>
      <c r="P68" s="329" t="s">
        <v>147</v>
      </c>
    </row>
    <row r="69" spans="7:16">
      <c r="G69" s="329"/>
      <c r="H69" s="329"/>
      <c r="I69" s="329">
        <v>5</v>
      </c>
      <c r="J69" s="329" t="s">
        <v>124</v>
      </c>
      <c r="K69" s="62">
        <v>-1100000000</v>
      </c>
      <c r="L69" s="104"/>
      <c r="M69" s="3">
        <f>+Data!A16</f>
        <v>13</v>
      </c>
      <c r="N69" s="3" t="str">
        <f>+Data!B16</f>
        <v>Non-CPP Ind EE 50% by 2050</v>
      </c>
      <c r="O69" s="62">
        <v>3900000000</v>
      </c>
      <c r="P69" s="329" t="s">
        <v>147</v>
      </c>
    </row>
    <row r="70" spans="7:16">
      <c r="G70" s="329"/>
      <c r="H70" s="329" t="s">
        <v>194</v>
      </c>
      <c r="I70" s="3">
        <v>19</v>
      </c>
      <c r="J70" s="329" t="s">
        <v>89</v>
      </c>
      <c r="K70" s="62">
        <v>-848000000</v>
      </c>
      <c r="L70" s="104"/>
      <c r="M70" s="3">
        <f>+Data!A28</f>
        <v>25</v>
      </c>
      <c r="N70" s="3" t="str">
        <f>+Data!B28</f>
        <v>Home Fuel Cells 5% by 2030</v>
      </c>
      <c r="O70" s="62">
        <v>6400000000</v>
      </c>
      <c r="P70" s="329" t="s">
        <v>147</v>
      </c>
    </row>
    <row r="71" spans="7:16">
      <c r="G71" s="329"/>
      <c r="H71" s="329"/>
      <c r="I71" s="3">
        <v>21</v>
      </c>
      <c r="J71" s="329" t="s">
        <v>92</v>
      </c>
      <c r="K71" s="330">
        <v>-90000000</v>
      </c>
      <c r="L71" s="104"/>
      <c r="M71" s="3">
        <f>+Data!A8</f>
        <v>5</v>
      </c>
      <c r="N71" s="3" t="str">
        <f>+Data!B8</f>
        <v>100% Elec HP &amp; WH in New Res by 2025</v>
      </c>
      <c r="O71" s="62">
        <v>7600000000</v>
      </c>
      <c r="P71" s="329" t="s">
        <v>147</v>
      </c>
    </row>
    <row r="72" spans="7:16">
      <c r="G72" s="329"/>
      <c r="H72" s="329"/>
      <c r="I72" s="329">
        <v>6</v>
      </c>
      <c r="J72" s="329" t="s">
        <v>122</v>
      </c>
      <c r="K72" s="62">
        <v>-40000000</v>
      </c>
      <c r="L72" s="104"/>
      <c r="M72" s="3">
        <f>+Data!A6</f>
        <v>3</v>
      </c>
      <c r="N72" s="3" t="str">
        <f>+Data!B6</f>
        <v>Res Code Reduction 60% by 2030</v>
      </c>
      <c r="O72" s="62">
        <v>7900000000</v>
      </c>
      <c r="P72" s="329" t="s">
        <v>147</v>
      </c>
    </row>
    <row r="73" spans="7:16">
      <c r="G73" s="3" t="s">
        <v>199</v>
      </c>
      <c r="H73" s="3"/>
      <c r="I73" s="3">
        <v>11</v>
      </c>
      <c r="J73" s="3" t="s">
        <v>76</v>
      </c>
      <c r="K73" s="62">
        <v>0</v>
      </c>
      <c r="L73" s="104"/>
      <c r="M73" s="3">
        <f>+Data!A25</f>
        <v>22</v>
      </c>
      <c r="N73" s="3" t="str">
        <f>+Data!B25</f>
        <v>Ind RH2 70% by 2050</v>
      </c>
      <c r="O73" s="62">
        <v>8500000000</v>
      </c>
      <c r="P73" s="329" t="s">
        <v>147</v>
      </c>
    </row>
    <row r="74" spans="7:16">
      <c r="G74" s="3"/>
      <c r="H74" s="3"/>
      <c r="I74" s="3">
        <v>20</v>
      </c>
      <c r="J74" s="3" t="s">
        <v>90</v>
      </c>
      <c r="K74" s="62">
        <v>2200000</v>
      </c>
      <c r="L74" s="104"/>
      <c r="M74" s="3">
        <f>+Data!A7</f>
        <v>4</v>
      </c>
      <c r="N74" s="3" t="str">
        <f>+Data!B7</f>
        <v>Com Code Reduction 60% by 2030</v>
      </c>
      <c r="O74" s="62">
        <v>9600000000</v>
      </c>
      <c r="P74" s="329" t="s">
        <v>147</v>
      </c>
    </row>
    <row r="75" spans="7:16">
      <c r="G75" s="3"/>
      <c r="H75" s="3"/>
      <c r="I75" s="3">
        <v>4</v>
      </c>
      <c r="J75" s="3" t="s">
        <v>121</v>
      </c>
      <c r="K75" s="62">
        <v>660000000</v>
      </c>
      <c r="L75" s="104"/>
      <c r="M75" s="3">
        <f>+Data!A12</f>
        <v>9</v>
      </c>
      <c r="N75" s="3" t="str">
        <f>+Data!B12</f>
        <v>Existing Res buildings 100% HP by 2043</v>
      </c>
      <c r="O75" s="62">
        <v>15100000000</v>
      </c>
      <c r="P75" s="329" t="s">
        <v>147</v>
      </c>
    </row>
    <row r="76" spans="7:16">
      <c r="G76" s="3"/>
      <c r="H76" s="3"/>
      <c r="I76" s="3">
        <v>9</v>
      </c>
      <c r="J76" s="3" t="s">
        <v>72</v>
      </c>
      <c r="K76" s="62">
        <v>4100000000</v>
      </c>
      <c r="L76" s="104"/>
      <c r="M76" s="3">
        <f>+Data!A27</f>
        <v>24</v>
      </c>
      <c r="N76" s="3" t="str">
        <f>+Data!B27</f>
        <v>RH2 Injection 15% by 2035</v>
      </c>
      <c r="O76" s="62">
        <v>25200000000</v>
      </c>
      <c r="P76" s="329" t="s">
        <v>147</v>
      </c>
    </row>
    <row r="77" spans="7:16">
      <c r="G77" s="3"/>
      <c r="H77" s="3"/>
      <c r="I77" s="3">
        <v>12</v>
      </c>
      <c r="J77" s="3" t="s">
        <v>78</v>
      </c>
      <c r="K77" s="62">
        <v>4300000000</v>
      </c>
      <c r="L77" s="104"/>
      <c r="M77" s="3">
        <f>+Data!A26</f>
        <v>23</v>
      </c>
      <c r="N77" s="3" t="str">
        <f>+Data!B26</f>
        <v>RNG Full Potential by 2050</v>
      </c>
      <c r="O77" s="62">
        <v>39700000000</v>
      </c>
      <c r="P77" s="329" t="s">
        <v>147</v>
      </c>
    </row>
    <row r="78" spans="7:16">
      <c r="G78" s="3"/>
      <c r="H78" s="3"/>
      <c r="I78" s="3">
        <v>25</v>
      </c>
      <c r="J78" s="3" t="s">
        <v>99</v>
      </c>
      <c r="K78" s="62">
        <v>5000000000</v>
      </c>
      <c r="L78" s="104"/>
      <c r="M78" s="3">
        <f>+Data!A11</f>
        <v>8</v>
      </c>
      <c r="N78" s="3" t="str">
        <f>+Data!B11</f>
        <v>Wz in Existing Com by 2040</v>
      </c>
      <c r="O78" s="62">
        <v>40500000000</v>
      </c>
      <c r="P78" s="329" t="s">
        <v>147</v>
      </c>
    </row>
    <row r="79" spans="7:16">
      <c r="G79" s="329" t="s">
        <v>28</v>
      </c>
      <c r="H79" s="329"/>
      <c r="I79" s="3">
        <v>24</v>
      </c>
      <c r="J79" s="329" t="s">
        <v>97</v>
      </c>
      <c r="K79" s="62">
        <v>25210000000</v>
      </c>
      <c r="L79" s="104"/>
      <c r="M79" s="3">
        <f>+Data!A10</f>
        <v>7</v>
      </c>
      <c r="N79" s="3" t="str">
        <f>+Data!B10</f>
        <v>Wz in Existing Res by 2040</v>
      </c>
      <c r="O79" s="62">
        <v>50900000000</v>
      </c>
      <c r="P79" s="329" t="s">
        <v>147</v>
      </c>
    </row>
    <row r="80" spans="7:16">
      <c r="L80" s="104"/>
    </row>
    <row r="81" spans="12:12">
      <c r="L81" s="104"/>
    </row>
  </sheetData>
  <sortState xmlns:xlrd2="http://schemas.microsoft.com/office/spreadsheetml/2017/richdata2" ref="G55:K79">
    <sortCondition ref="K55:K79"/>
  </sortState>
  <mergeCells count="8">
    <mergeCell ref="J47:K47"/>
    <mergeCell ref="U5:V5"/>
    <mergeCell ref="B41:F41"/>
    <mergeCell ref="B43:D43"/>
    <mergeCell ref="F43:H43"/>
    <mergeCell ref="J43:L43"/>
    <mergeCell ref="N43:P43"/>
    <mergeCell ref="R43:T43"/>
  </mergeCells>
  <dataValidations count="3">
    <dataValidation type="list" allowBlank="1" showInputMessage="1" showErrorMessage="1" sqref="O13:O37 K13:K37 G13:G37 C13:C37" xr:uid="{97BFDBE7-318D-4320-9665-E5CD0AD9998B}">
      <formula1>$B$6:$B$10</formula1>
    </dataValidation>
    <dataValidation type="list" allowBlank="1" showInputMessage="1" showErrorMessage="1" sqref="S13:S37" xr:uid="{CEC5CC8B-A9A5-47E6-B711-0795323D37A4}">
      <formula1>$R$6:$R$8</formula1>
    </dataValidation>
    <dataValidation type="list" allowBlank="1" showInputMessage="1" showErrorMessage="1" sqref="P55:P79" xr:uid="{9DEF8A46-4768-4D45-987E-E6B5604021F5}">
      <formula1>$N$6:$N$10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692B7-4FCB-4FDB-90EB-B9987FA4E1CD}">
  <sheetPr>
    <tabColor rgb="FF0066FF"/>
  </sheetPr>
  <dimension ref="A1:N21"/>
  <sheetViews>
    <sheetView workbookViewId="0"/>
  </sheetViews>
  <sheetFormatPr defaultRowHeight="15"/>
  <cols>
    <col min="1" max="12" width="15.7109375" customWidth="1"/>
  </cols>
  <sheetData>
    <row r="1" spans="1:14" ht="21">
      <c r="A1" s="24" t="s">
        <v>44</v>
      </c>
    </row>
    <row r="3" spans="1:14" ht="45">
      <c r="A3" s="27" t="s">
        <v>1</v>
      </c>
      <c r="B3" s="31" t="s">
        <v>0</v>
      </c>
      <c r="C3" s="172" t="s">
        <v>4</v>
      </c>
      <c r="D3" s="172"/>
      <c r="E3" s="172"/>
      <c r="F3" s="170" t="s">
        <v>2</v>
      </c>
      <c r="G3" s="170"/>
      <c r="H3" s="171" t="s">
        <v>3</v>
      </c>
      <c r="I3" s="171"/>
      <c r="J3" s="173" t="s">
        <v>39</v>
      </c>
      <c r="K3" s="173"/>
      <c r="L3" s="173"/>
      <c r="N3">
        <v>6</v>
      </c>
    </row>
    <row r="4" spans="1:14">
      <c r="A4" s="27">
        <v>29</v>
      </c>
      <c r="B4" s="31">
        <v>15</v>
      </c>
      <c r="C4" s="172">
        <v>16</v>
      </c>
      <c r="D4" s="172"/>
      <c r="E4" s="172"/>
      <c r="F4" s="170">
        <v>15</v>
      </c>
      <c r="G4" s="170"/>
      <c r="H4" s="171">
        <v>14</v>
      </c>
      <c r="I4" s="171"/>
      <c r="J4" s="173">
        <v>11</v>
      </c>
      <c r="K4" s="173"/>
      <c r="L4" s="173"/>
    </row>
    <row r="5" spans="1:14" ht="45">
      <c r="A5" s="28" t="s">
        <v>62</v>
      </c>
      <c r="B5" s="32" t="s">
        <v>62</v>
      </c>
      <c r="C5" s="35" t="s">
        <v>45</v>
      </c>
      <c r="D5" s="35" t="s">
        <v>47</v>
      </c>
      <c r="E5" s="35" t="s">
        <v>46</v>
      </c>
      <c r="F5" s="37" t="s">
        <v>48</v>
      </c>
      <c r="G5" s="37" t="s">
        <v>49</v>
      </c>
      <c r="H5" s="40" t="s">
        <v>58</v>
      </c>
      <c r="I5" s="40" t="s">
        <v>50</v>
      </c>
      <c r="J5" s="43" t="s">
        <v>51</v>
      </c>
      <c r="K5" s="43" t="s">
        <v>52</v>
      </c>
      <c r="L5" s="43" t="s">
        <v>25</v>
      </c>
      <c r="N5">
        <v>12</v>
      </c>
    </row>
    <row r="6" spans="1:14" s="20" customFormat="1">
      <c r="A6" s="29">
        <v>1</v>
      </c>
      <c r="B6" s="33">
        <v>1</v>
      </c>
      <c r="C6" s="46">
        <f>IF(B12="Proposed",C11,C10)</f>
        <v>0.4</v>
      </c>
      <c r="D6" s="46">
        <f>IF(B12="Proposed",D11,D10)</f>
        <v>0.2</v>
      </c>
      <c r="E6" s="46">
        <f>IF(B12="Proposed",E11,E10)</f>
        <v>0.4</v>
      </c>
      <c r="F6" s="38">
        <v>0.5</v>
      </c>
      <c r="G6" s="38">
        <v>0.5</v>
      </c>
      <c r="H6" s="41">
        <v>0.5</v>
      </c>
      <c r="I6" s="41">
        <v>0.5</v>
      </c>
      <c r="J6" s="44">
        <v>0.4</v>
      </c>
      <c r="K6" s="44">
        <v>0.4</v>
      </c>
      <c r="L6" s="44">
        <v>0.2</v>
      </c>
    </row>
    <row r="7" spans="1:14">
      <c r="A7" s="30">
        <f>+A4*A6</f>
        <v>29</v>
      </c>
      <c r="B7" s="34">
        <f t="shared" ref="B7:J7" si="0">+B4*B6</f>
        <v>15</v>
      </c>
      <c r="C7" s="36">
        <f>ROUNDUP(+C4*C6,2)</f>
        <v>6.4</v>
      </c>
      <c r="D7" s="36">
        <f>ROUNDUP(+C4*D6,2)</f>
        <v>3.2</v>
      </c>
      <c r="E7" s="36">
        <f>ROUNDUP(+C4*E6,2)</f>
        <v>6.4</v>
      </c>
      <c r="F7" s="39">
        <f t="shared" si="0"/>
        <v>7.5</v>
      </c>
      <c r="G7" s="39">
        <f>+F4*G6</f>
        <v>7.5</v>
      </c>
      <c r="H7" s="42">
        <f t="shared" si="0"/>
        <v>7</v>
      </c>
      <c r="I7" s="42">
        <f>+H4*I6</f>
        <v>7</v>
      </c>
      <c r="J7" s="45">
        <f t="shared" si="0"/>
        <v>4.4000000000000004</v>
      </c>
      <c r="K7" s="45">
        <f>+J4*K6</f>
        <v>4.4000000000000004</v>
      </c>
      <c r="L7" s="45">
        <f>+J4*L6</f>
        <v>2.2000000000000002</v>
      </c>
      <c r="M7" s="22">
        <f>SUM(A7:L7)</f>
        <v>100.00000000000001</v>
      </c>
    </row>
    <row r="8" spans="1:14">
      <c r="A8">
        <f>+A4</f>
        <v>29</v>
      </c>
      <c r="B8">
        <f>+B4</f>
        <v>15</v>
      </c>
      <c r="C8">
        <f>+C4</f>
        <v>16</v>
      </c>
      <c r="F8">
        <f>+F4</f>
        <v>15</v>
      </c>
      <c r="H8">
        <f>+H4</f>
        <v>14</v>
      </c>
      <c r="J8">
        <f>+J4</f>
        <v>11</v>
      </c>
      <c r="M8" s="22">
        <f>SUM(A8:L8)</f>
        <v>100</v>
      </c>
    </row>
    <row r="10" spans="1:14">
      <c r="B10" s="3" t="s">
        <v>211</v>
      </c>
      <c r="C10" s="46">
        <v>0.33333332999999998</v>
      </c>
      <c r="D10" s="46">
        <v>0.33333332999999998</v>
      </c>
      <c r="E10" s="46">
        <v>0.33333332999999998</v>
      </c>
    </row>
    <row r="11" spans="1:14" ht="15.75" thickBot="1">
      <c r="B11" s="204" t="s">
        <v>236</v>
      </c>
      <c r="C11" s="46">
        <v>0.4</v>
      </c>
      <c r="D11" s="46">
        <v>0.2</v>
      </c>
      <c r="E11" s="46">
        <v>0.4</v>
      </c>
    </row>
    <row r="12" spans="1:14" ht="15.75" thickBot="1">
      <c r="A12" s="149" t="s">
        <v>271</v>
      </c>
      <c r="B12" s="150" t="s">
        <v>236</v>
      </c>
    </row>
    <row r="15" spans="1:14">
      <c r="A15" t="s">
        <v>269</v>
      </c>
      <c r="C15" t="s">
        <v>270</v>
      </c>
      <c r="E15" s="21"/>
    </row>
    <row r="16" spans="1:14">
      <c r="A16" s="192" t="s">
        <v>1</v>
      </c>
      <c r="B16" s="193"/>
      <c r="C16" s="193">
        <f>+A4</f>
        <v>29</v>
      </c>
    </row>
    <row r="17" spans="1:3">
      <c r="A17" s="194" t="s">
        <v>0</v>
      </c>
      <c r="B17" s="195"/>
      <c r="C17" s="195">
        <f>+B4</f>
        <v>15</v>
      </c>
    </row>
    <row r="18" spans="1:3">
      <c r="A18" s="196" t="s">
        <v>4</v>
      </c>
      <c r="B18" s="196"/>
      <c r="C18" s="197">
        <f>+C4</f>
        <v>16</v>
      </c>
    </row>
    <row r="19" spans="1:3">
      <c r="A19" s="198" t="s">
        <v>2</v>
      </c>
      <c r="B19" s="198"/>
      <c r="C19" s="199">
        <f>+F4</f>
        <v>15</v>
      </c>
    </row>
    <row r="20" spans="1:3">
      <c r="A20" s="200" t="s">
        <v>3</v>
      </c>
      <c r="B20" s="200"/>
      <c r="C20" s="201">
        <f>+H4</f>
        <v>14</v>
      </c>
    </row>
    <row r="21" spans="1:3">
      <c r="A21" s="202" t="s">
        <v>39</v>
      </c>
      <c r="B21" s="203"/>
      <c r="C21" s="98">
        <f>+J4</f>
        <v>11</v>
      </c>
    </row>
  </sheetData>
  <mergeCells count="8">
    <mergeCell ref="F3:G3"/>
    <mergeCell ref="H3:I3"/>
    <mergeCell ref="C3:E3"/>
    <mergeCell ref="J3:L3"/>
    <mergeCell ref="C4:E4"/>
    <mergeCell ref="F4:G4"/>
    <mergeCell ref="H4:I4"/>
    <mergeCell ref="J4:L4"/>
  </mergeCells>
  <dataValidations disablePrompts="1" count="1">
    <dataValidation type="list" allowBlank="1" showInputMessage="1" showErrorMessage="1" sqref="B12" xr:uid="{CB8A72A5-100A-434D-BB00-4224C9925058}">
      <formula1>$B$10:$B$11</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BC239-BF92-4834-B3D3-47BA39999BDF}">
  <sheetPr>
    <tabColor rgb="FF0066FF"/>
  </sheetPr>
  <dimension ref="A1:E39"/>
  <sheetViews>
    <sheetView workbookViewId="0"/>
  </sheetViews>
  <sheetFormatPr defaultRowHeight="15"/>
  <cols>
    <col min="1" max="1" width="4.7109375" style="48" customWidth="1"/>
    <col min="2" max="2" width="50" customWidth="1"/>
    <col min="3" max="3" width="4.7109375" style="48" customWidth="1"/>
    <col min="4" max="4" width="45.7109375" customWidth="1"/>
  </cols>
  <sheetData>
    <row r="1" spans="1:4" ht="21">
      <c r="B1" s="24" t="s">
        <v>272</v>
      </c>
    </row>
    <row r="2" spans="1:4" ht="18.75">
      <c r="A2" s="50" t="s">
        <v>61</v>
      </c>
      <c r="B2" s="51" t="s">
        <v>63</v>
      </c>
      <c r="C2" s="50" t="s">
        <v>61</v>
      </c>
      <c r="D2" s="51" t="s">
        <v>64</v>
      </c>
    </row>
    <row r="3" spans="1:4">
      <c r="A3" s="26">
        <v>1</v>
      </c>
      <c r="B3" s="157" t="s">
        <v>65</v>
      </c>
      <c r="C3" s="26">
        <v>1</v>
      </c>
      <c r="D3" s="157" t="s">
        <v>65</v>
      </c>
    </row>
    <row r="4" spans="1:4">
      <c r="A4" s="26">
        <v>2</v>
      </c>
      <c r="B4" s="157" t="s">
        <v>66</v>
      </c>
      <c r="C4" s="26">
        <v>2</v>
      </c>
      <c r="D4" s="157" t="s">
        <v>66</v>
      </c>
    </row>
    <row r="5" spans="1:4">
      <c r="A5" s="26">
        <v>3</v>
      </c>
      <c r="B5" s="158" t="s">
        <v>67</v>
      </c>
      <c r="C5" s="26">
        <v>3</v>
      </c>
      <c r="D5" s="158" t="s">
        <v>67</v>
      </c>
    </row>
    <row r="6" spans="1:4">
      <c r="A6" s="26">
        <v>4</v>
      </c>
      <c r="B6" s="158" t="s">
        <v>121</v>
      </c>
      <c r="C6" s="26">
        <v>4</v>
      </c>
      <c r="D6" s="158" t="s">
        <v>68</v>
      </c>
    </row>
    <row r="7" spans="1:4">
      <c r="A7" s="26">
        <v>5</v>
      </c>
      <c r="B7" s="157" t="s">
        <v>124</v>
      </c>
      <c r="C7" s="26">
        <v>6</v>
      </c>
      <c r="D7" s="157" t="s">
        <v>125</v>
      </c>
    </row>
    <row r="8" spans="1:4">
      <c r="A8" s="26">
        <v>6</v>
      </c>
      <c r="B8" s="157" t="s">
        <v>122</v>
      </c>
      <c r="C8" s="26">
        <v>5</v>
      </c>
      <c r="D8" s="157" t="s">
        <v>123</v>
      </c>
    </row>
    <row r="9" spans="1:4">
      <c r="A9" s="26">
        <v>7</v>
      </c>
      <c r="B9" s="157" t="s">
        <v>69</v>
      </c>
      <c r="C9" s="26">
        <v>7</v>
      </c>
      <c r="D9" s="157" t="s">
        <v>70</v>
      </c>
    </row>
    <row r="10" spans="1:4">
      <c r="A10" s="26">
        <v>8</v>
      </c>
      <c r="B10" s="157" t="s">
        <v>71</v>
      </c>
      <c r="C10" s="26">
        <v>8</v>
      </c>
      <c r="D10" s="157" t="s">
        <v>71</v>
      </c>
    </row>
    <row r="11" spans="1:4">
      <c r="A11" s="26">
        <v>9</v>
      </c>
      <c r="B11" s="159" t="s">
        <v>72</v>
      </c>
      <c r="C11" s="26">
        <v>9</v>
      </c>
      <c r="D11" s="159" t="s">
        <v>73</v>
      </c>
    </row>
    <row r="12" spans="1:4">
      <c r="A12" s="26">
        <v>10</v>
      </c>
      <c r="B12" s="159" t="s">
        <v>74</v>
      </c>
      <c r="C12" s="26">
        <v>10</v>
      </c>
      <c r="D12" s="159" t="s">
        <v>75</v>
      </c>
    </row>
    <row r="13" spans="1:4">
      <c r="A13" s="26">
        <v>11</v>
      </c>
      <c r="B13" s="159" t="s">
        <v>76</v>
      </c>
      <c r="C13" s="26">
        <v>11</v>
      </c>
      <c r="D13" s="159" t="s">
        <v>77</v>
      </c>
    </row>
    <row r="14" spans="1:4">
      <c r="A14" s="26">
        <v>12</v>
      </c>
      <c r="B14" s="159" t="s">
        <v>78</v>
      </c>
      <c r="C14" s="26">
        <v>12</v>
      </c>
      <c r="D14" s="159" t="s">
        <v>79</v>
      </c>
    </row>
    <row r="15" spans="1:4">
      <c r="A15" s="26">
        <v>13</v>
      </c>
      <c r="B15" s="160" t="s">
        <v>80</v>
      </c>
      <c r="C15" s="26"/>
      <c r="D15" s="163"/>
    </row>
    <row r="16" spans="1:4">
      <c r="A16" s="26">
        <v>14</v>
      </c>
      <c r="B16" s="160" t="s">
        <v>81</v>
      </c>
      <c r="C16" s="26"/>
      <c r="D16" s="163"/>
    </row>
    <row r="17" spans="1:5">
      <c r="A17" s="26">
        <v>15</v>
      </c>
      <c r="B17" s="161" t="s">
        <v>109</v>
      </c>
      <c r="C17" s="26">
        <f>+C14+1</f>
        <v>13</v>
      </c>
      <c r="D17" s="161" t="s">
        <v>109</v>
      </c>
    </row>
    <row r="18" spans="1:5">
      <c r="A18" s="26">
        <v>16</v>
      </c>
      <c r="B18" s="161" t="s">
        <v>82</v>
      </c>
      <c r="C18" s="26">
        <f>C17+1</f>
        <v>14</v>
      </c>
      <c r="D18" s="161" t="s">
        <v>83</v>
      </c>
    </row>
    <row r="19" spans="1:5">
      <c r="A19" s="26">
        <v>17</v>
      </c>
      <c r="B19" s="161" t="s">
        <v>110</v>
      </c>
      <c r="C19" s="26">
        <f t="shared" ref="C19:C29" si="0">C18+1</f>
        <v>15</v>
      </c>
      <c r="D19" s="161" t="s">
        <v>110</v>
      </c>
    </row>
    <row r="20" spans="1:5">
      <c r="A20" s="26">
        <v>18</v>
      </c>
      <c r="B20" s="161" t="s">
        <v>84</v>
      </c>
      <c r="C20" s="26">
        <f t="shared" si="0"/>
        <v>16</v>
      </c>
      <c r="D20" s="161" t="s">
        <v>85</v>
      </c>
    </row>
    <row r="21" spans="1:5">
      <c r="A21" s="26">
        <v>19</v>
      </c>
      <c r="B21" s="161" t="s">
        <v>86</v>
      </c>
      <c r="C21" s="26">
        <f t="shared" si="0"/>
        <v>17</v>
      </c>
      <c r="D21" s="161" t="s">
        <v>86</v>
      </c>
    </row>
    <row r="22" spans="1:5">
      <c r="A22" s="26">
        <v>20</v>
      </c>
      <c r="B22" s="161" t="s">
        <v>87</v>
      </c>
      <c r="C22" s="26">
        <f t="shared" si="0"/>
        <v>18</v>
      </c>
      <c r="D22" s="161" t="s">
        <v>88</v>
      </c>
    </row>
    <row r="23" spans="1:5">
      <c r="A23" s="26">
        <v>21</v>
      </c>
      <c r="B23" s="161" t="s">
        <v>89</v>
      </c>
      <c r="C23" s="26">
        <f t="shared" si="0"/>
        <v>19</v>
      </c>
      <c r="D23" s="161" t="s">
        <v>89</v>
      </c>
    </row>
    <row r="24" spans="1:5">
      <c r="A24" s="26">
        <v>22</v>
      </c>
      <c r="B24" s="161" t="s">
        <v>90</v>
      </c>
      <c r="C24" s="26">
        <f t="shared" si="0"/>
        <v>20</v>
      </c>
      <c r="D24" s="161" t="s">
        <v>91</v>
      </c>
    </row>
    <row r="25" spans="1:5">
      <c r="A25" s="26">
        <v>23</v>
      </c>
      <c r="B25" s="161" t="s">
        <v>92</v>
      </c>
      <c r="C25" s="26">
        <f t="shared" si="0"/>
        <v>21</v>
      </c>
      <c r="D25" s="161" t="s">
        <v>92</v>
      </c>
    </row>
    <row r="26" spans="1:5">
      <c r="A26" s="26">
        <v>24</v>
      </c>
      <c r="B26" s="162" t="s">
        <v>93</v>
      </c>
      <c r="C26" s="26">
        <f t="shared" si="0"/>
        <v>22</v>
      </c>
      <c r="D26" s="160" t="s">
        <v>94</v>
      </c>
    </row>
    <row r="27" spans="1:5">
      <c r="A27" s="26">
        <v>25</v>
      </c>
      <c r="B27" s="162" t="s">
        <v>95</v>
      </c>
      <c r="C27" s="26">
        <f t="shared" si="0"/>
        <v>23</v>
      </c>
      <c r="D27" s="160" t="s">
        <v>96</v>
      </c>
    </row>
    <row r="28" spans="1:5">
      <c r="A28" s="26">
        <v>26</v>
      </c>
      <c r="B28" s="160" t="s">
        <v>97</v>
      </c>
      <c r="C28" s="26">
        <f t="shared" si="0"/>
        <v>24</v>
      </c>
      <c r="D28" s="160" t="s">
        <v>98</v>
      </c>
    </row>
    <row r="29" spans="1:5">
      <c r="A29" s="26">
        <v>27</v>
      </c>
      <c r="B29" s="160" t="s">
        <v>99</v>
      </c>
      <c r="C29" s="26">
        <f t="shared" si="0"/>
        <v>25</v>
      </c>
      <c r="D29" s="160" t="s">
        <v>100</v>
      </c>
    </row>
    <row r="30" spans="1:5">
      <c r="C30" s="49"/>
    </row>
    <row r="31" spans="1:5">
      <c r="B31" s="48">
        <f>COUNTA(B3:B29)</f>
        <v>27</v>
      </c>
      <c r="D31" s="48">
        <f>COUNTA(D3:D29)</f>
        <v>25</v>
      </c>
      <c r="E31" t="s">
        <v>237</v>
      </c>
    </row>
    <row r="32" spans="1:5">
      <c r="B32" s="48">
        <f>+B31-6</f>
        <v>21</v>
      </c>
      <c r="D32" s="48">
        <f>+D31-4</f>
        <v>21</v>
      </c>
      <c r="E32" t="s">
        <v>238</v>
      </c>
    </row>
    <row r="33" spans="2:4">
      <c r="B33" s="15" t="s">
        <v>259</v>
      </c>
      <c r="D33" s="15" t="s">
        <v>259</v>
      </c>
    </row>
    <row r="34" spans="2:4">
      <c r="B34" s="55" t="s">
        <v>101</v>
      </c>
      <c r="C34" s="56"/>
      <c r="D34" s="55" t="s">
        <v>102</v>
      </c>
    </row>
    <row r="35" spans="2:4">
      <c r="B35" s="47" t="s">
        <v>103</v>
      </c>
      <c r="D35" s="47" t="s">
        <v>103</v>
      </c>
    </row>
    <row r="36" spans="2:4">
      <c r="B36" s="47" t="s">
        <v>104</v>
      </c>
      <c r="D36" s="47" t="s">
        <v>104</v>
      </c>
    </row>
    <row r="38" spans="2:4">
      <c r="C38" s="48">
        <f>COUNTA(B26:D29)+2</f>
        <v>14</v>
      </c>
    </row>
    <row r="39" spans="2:4">
      <c r="C39" s="48">
        <f>+B31+4</f>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B43B7-1B51-48DB-BAB4-A64FB5AE949F}">
  <sheetPr>
    <tabColor rgb="FF0066FF"/>
  </sheetPr>
  <dimension ref="A1:S30"/>
  <sheetViews>
    <sheetView zoomScaleNormal="100" workbookViewId="0">
      <selection activeCell="E27" sqref="E27"/>
    </sheetView>
  </sheetViews>
  <sheetFormatPr defaultRowHeight="15"/>
  <cols>
    <col min="1" max="1" width="4.7109375" style="48" customWidth="1"/>
    <col min="2" max="2" width="43" customWidth="1"/>
    <col min="3" max="3" width="31.140625" hidden="1" customWidth="1"/>
    <col min="4" max="4" width="43.85546875" hidden="1" customWidth="1"/>
    <col min="5" max="9" width="17.7109375" customWidth="1"/>
    <col min="10" max="10" width="15.7109375" style="67" customWidth="1"/>
    <col min="11" max="11" width="15.7109375" customWidth="1"/>
    <col min="12" max="13" width="15.7109375" hidden="1" customWidth="1"/>
    <col min="14" max="14" width="17.5703125" customWidth="1"/>
    <col min="15" max="15" width="15.7109375" style="67" customWidth="1"/>
    <col min="16" max="16" width="17.5703125" customWidth="1"/>
    <col min="17" max="17" width="15.7109375" style="48" customWidth="1"/>
  </cols>
  <sheetData>
    <row r="1" spans="1:18" ht="21">
      <c r="A1" s="60" t="s">
        <v>160</v>
      </c>
    </row>
    <row r="2" spans="1:18" ht="21">
      <c r="B2" s="24" t="s">
        <v>246</v>
      </c>
      <c r="H2" s="48" t="s">
        <v>247</v>
      </c>
      <c r="I2" s="48"/>
      <c r="J2" s="121" t="s">
        <v>247</v>
      </c>
      <c r="K2" s="48" t="s">
        <v>247</v>
      </c>
      <c r="L2" s="48"/>
      <c r="M2" s="48"/>
      <c r="N2" s="48" t="s">
        <v>247</v>
      </c>
      <c r="O2" s="121" t="s">
        <v>247</v>
      </c>
      <c r="P2" s="48" t="s">
        <v>247</v>
      </c>
      <c r="Q2" s="48" t="s">
        <v>247</v>
      </c>
    </row>
    <row r="3" spans="1:18" s="1" customFormat="1" ht="60">
      <c r="A3" s="58" t="s">
        <v>61</v>
      </c>
      <c r="B3" s="61" t="s">
        <v>112</v>
      </c>
      <c r="C3" s="61" t="s">
        <v>113</v>
      </c>
      <c r="D3" s="61" t="s">
        <v>114</v>
      </c>
      <c r="E3" s="109" t="s">
        <v>118</v>
      </c>
      <c r="F3" s="109" t="s">
        <v>119</v>
      </c>
      <c r="G3" s="109" t="s">
        <v>120</v>
      </c>
      <c r="H3" s="109" t="s">
        <v>115</v>
      </c>
      <c r="I3" s="109" t="s">
        <v>116</v>
      </c>
      <c r="J3" s="148" t="s">
        <v>117</v>
      </c>
      <c r="K3" s="58" t="s">
        <v>240</v>
      </c>
      <c r="L3" s="1" t="s">
        <v>127</v>
      </c>
      <c r="M3" s="1" t="s">
        <v>128</v>
      </c>
      <c r="N3" s="58" t="s">
        <v>253</v>
      </c>
      <c r="O3" s="148" t="s">
        <v>145</v>
      </c>
      <c r="P3" s="58" t="s">
        <v>146</v>
      </c>
      <c r="Q3" s="58" t="s">
        <v>126</v>
      </c>
    </row>
    <row r="4" spans="1:18">
      <c r="A4" s="26">
        <f>+'List of Actions'!A3</f>
        <v>1</v>
      </c>
      <c r="B4" s="3" t="str">
        <f>+'List of Actions'!B3</f>
        <v>Reduced Res Floor Area</v>
      </c>
      <c r="C4" s="3" t="str">
        <f>+[1]Electrification!C5</f>
        <v>Residential Buildings</v>
      </c>
      <c r="D4" s="3" t="str">
        <f>+[1]Electrification!D5</f>
        <v>Reduce the floor area of new homes</v>
      </c>
      <c r="E4" s="62">
        <f>+[1]Hybrid!E5</f>
        <v>0</v>
      </c>
      <c r="F4" s="62">
        <f>+[1]Hybrid!F5</f>
        <v>-3600000000</v>
      </c>
      <c r="G4" s="62">
        <f>+[1]Hybrid!G5</f>
        <v>-14400000000</v>
      </c>
      <c r="H4" s="62">
        <f>+[1]Hybrid!H5</f>
        <v>-18000000000</v>
      </c>
      <c r="I4" s="62">
        <f>+[1]Hybrid!I5</f>
        <v>-7320900000</v>
      </c>
      <c r="J4" s="63">
        <f>+[1]Hybrid!J5</f>
        <v>1718000</v>
      </c>
      <c r="K4" s="62">
        <f>+[1]Hybrid!K5</f>
        <v>-4261.3020407450522</v>
      </c>
      <c r="L4" s="62">
        <f>+[1]Electrification!P5</f>
        <v>-153000</v>
      </c>
      <c r="M4" s="63">
        <f>+[1]Electrification!L5</f>
        <v>57000000</v>
      </c>
      <c r="N4" s="62">
        <f>+[1]Hybrid!M5</f>
        <v>1962900000</v>
      </c>
      <c r="O4" s="63">
        <f>+[1]Hybrid!N5</f>
        <v>0</v>
      </c>
      <c r="P4" s="62">
        <f>+H4</f>
        <v>-18000000000</v>
      </c>
      <c r="Q4" s="143">
        <f>+[1]Hybrid!O5</f>
        <v>0.16159999999999999</v>
      </c>
      <c r="R4" s="146"/>
    </row>
    <row r="5" spans="1:18">
      <c r="A5" s="26">
        <f>+'List of Actions'!A4</f>
        <v>2</v>
      </c>
      <c r="B5" s="3" t="str">
        <f>+'List of Actions'!B4</f>
        <v>Higher Urban Res Density</v>
      </c>
      <c r="C5" s="3" t="str">
        <f>+[1]Electrification!C6</f>
        <v>Residential Buildings</v>
      </c>
      <c r="D5" s="3" t="str">
        <f>+[1]Electrification!D6</f>
        <v>Shift to higher density residences in urban zones</v>
      </c>
      <c r="E5" s="62">
        <f>+[1]Hybrid!E6</f>
        <v>-27500000000</v>
      </c>
      <c r="F5" s="62">
        <f>+[1]Hybrid!F6</f>
        <v>-2800000000</v>
      </c>
      <c r="G5" s="62">
        <f>+[1]Hybrid!G6</f>
        <v>-9000000000</v>
      </c>
      <c r="H5" s="62">
        <f>+[1]Hybrid!H6</f>
        <v>-39300000000</v>
      </c>
      <c r="I5" s="62">
        <f>+[1]Hybrid!I6</f>
        <v>-20906500000</v>
      </c>
      <c r="J5" s="63">
        <f>+[1]Hybrid!J6</f>
        <v>1315000</v>
      </c>
      <c r="K5" s="62">
        <f>+[1]Hybrid!K6</f>
        <v>-15898.511732319392</v>
      </c>
      <c r="L5" s="62">
        <f>+[1]Electrification!P6</f>
        <v>-112000</v>
      </c>
      <c r="M5" s="63">
        <f>+[1]Electrification!L6</f>
        <v>43000000</v>
      </c>
      <c r="N5" s="62">
        <f>+[1]Hybrid!M6</f>
        <v>875000000</v>
      </c>
      <c r="O5" s="63">
        <f>+[1]Hybrid!N6</f>
        <v>-149677</v>
      </c>
      <c r="P5" s="62">
        <f t="shared" ref="P5:P8" si="0">+H5</f>
        <v>-39300000000</v>
      </c>
      <c r="Q5" s="143">
        <f>+[1]Hybrid!O6</f>
        <v>0.16159999999999999</v>
      </c>
      <c r="R5" s="146"/>
    </row>
    <row r="6" spans="1:18">
      <c r="A6" s="26">
        <f>+'List of Actions'!A5</f>
        <v>3</v>
      </c>
      <c r="B6" s="3" t="str">
        <f>+'List of Actions'!B5</f>
        <v>Res Code Reduction 60% by 2030</v>
      </c>
      <c r="C6" s="3" t="str">
        <f>+[1]Electrification!C7</f>
        <v>Residential Buildings</v>
      </c>
      <c r="D6" s="3" t="str">
        <f>+[1]Electrification!D7</f>
        <v>Require new res buildings to use 60% less energy than base year by 2030</v>
      </c>
      <c r="E6" s="62">
        <f>+[1]Hybrid!E7</f>
        <v>7900000000</v>
      </c>
      <c r="F6" s="62">
        <f>+[1]Hybrid!F7</f>
        <v>-13500000000</v>
      </c>
      <c r="G6" s="62">
        <f>+[1]Hybrid!G7</f>
        <v>300000000</v>
      </c>
      <c r="H6" s="62">
        <f>+[1]Hybrid!H7</f>
        <v>-5300000000</v>
      </c>
      <c r="I6" s="62">
        <f>+[1]Hybrid!I7</f>
        <v>-499300000</v>
      </c>
      <c r="J6" s="63">
        <f>+[1]Hybrid!J7</f>
        <v>8044000</v>
      </c>
      <c r="K6" s="62">
        <f>+[1]Hybrid!K7</f>
        <v>-62.072545499751371</v>
      </c>
      <c r="L6" s="62">
        <f>+[1]Electrification!P7</f>
        <v>-677000</v>
      </c>
      <c r="M6" s="63">
        <f>+[1]Electrification!L7</f>
        <v>230000000</v>
      </c>
      <c r="N6" s="62">
        <f>+[1]Hybrid!M7</f>
        <v>2669000000</v>
      </c>
      <c r="O6" s="63">
        <f>+[1]Hybrid!N7</f>
        <v>38162</v>
      </c>
      <c r="P6" s="62">
        <f t="shared" si="0"/>
        <v>-5300000000</v>
      </c>
      <c r="Q6" s="143">
        <f>+[1]Hybrid!O7</f>
        <v>0.16159999999999999</v>
      </c>
      <c r="R6" s="146"/>
    </row>
    <row r="7" spans="1:18">
      <c r="A7" s="26">
        <f>+'List of Actions'!A6</f>
        <v>4</v>
      </c>
      <c r="B7" s="3" t="str">
        <f>+'List of Actions'!B6</f>
        <v>Com Code Reduction 60% by 2030</v>
      </c>
      <c r="C7" s="3" t="str">
        <f>+[1]Electrification!C8</f>
        <v>Commercial Buildings</v>
      </c>
      <c r="D7" s="3" t="str">
        <f>+[1]Electrification!D8</f>
        <v>Require new com buildings to use 60% less energy than base year by 2030</v>
      </c>
      <c r="E7" s="62">
        <f>+[1]Hybrid!E8</f>
        <v>9600000000</v>
      </c>
      <c r="F7" s="62">
        <f>+[1]Hybrid!F8</f>
        <v>-8230000000</v>
      </c>
      <c r="G7" s="62">
        <f>+[1]Hybrid!G8</f>
        <v>-710000000</v>
      </c>
      <c r="H7" s="62">
        <f>+[1]Hybrid!H8</f>
        <v>700000000</v>
      </c>
      <c r="I7" s="62">
        <f>+[1]Hybrid!I8</f>
        <v>2353100000</v>
      </c>
      <c r="J7" s="63">
        <f>+[1]Hybrid!J8</f>
        <v>11751000</v>
      </c>
      <c r="K7" s="62">
        <f>+[1]Hybrid!K8</f>
        <v>200.24897021530083</v>
      </c>
      <c r="L7" s="62">
        <f>+[1]Electrification!P8</f>
        <v>-786000</v>
      </c>
      <c r="M7" s="63">
        <f>+[1]Electrification!L8</f>
        <v>458000000</v>
      </c>
      <c r="N7" s="62">
        <f>+[1]Hybrid!M8</f>
        <v>550640000</v>
      </c>
      <c r="O7" s="63">
        <f>+[1]Hybrid!N8</f>
        <v>52821</v>
      </c>
      <c r="P7" s="62">
        <f t="shared" si="0"/>
        <v>700000000</v>
      </c>
      <c r="Q7" s="143">
        <f>+[1]Hybrid!O8</f>
        <v>0</v>
      </c>
      <c r="R7" s="146"/>
    </row>
    <row r="8" spans="1:18">
      <c r="A8" s="26">
        <f>+'List of Actions'!A7</f>
        <v>5</v>
      </c>
      <c r="B8" s="3" t="str">
        <f>+'List of Actions'!B7</f>
        <v>100% Elec HP &amp; WH in New Res by 2025</v>
      </c>
      <c r="C8" s="3" t="str">
        <f>+[1]Electrification!C9</f>
        <v>Residential Equipment</v>
      </c>
      <c r="D8" s="3" t="str">
        <f>+[1]Electrification!D9</f>
        <v>Install 100% electric heat pumps and water heat pumps in new residential buildings by 2025</v>
      </c>
      <c r="E8" s="62">
        <f>+[1]Hybrid!E9</f>
        <v>9300000000</v>
      </c>
      <c r="F8" s="62">
        <f>+[1]Hybrid!F9</f>
        <v>-10400000000</v>
      </c>
      <c r="G8" s="62">
        <f>+[1]Hybrid!G9</f>
        <v>600000000</v>
      </c>
      <c r="H8" s="62">
        <f>+[1]Hybrid!H9</f>
        <v>-500000000</v>
      </c>
      <c r="I8" s="62">
        <f>+[1]Hybrid!I9</f>
        <v>623700000</v>
      </c>
      <c r="J8" s="63">
        <f>+[1]Hybrid!J9</f>
        <v>4269000</v>
      </c>
      <c r="K8" s="62">
        <f>+[1]Hybrid!K9</f>
        <v>146.08912157413914</v>
      </c>
      <c r="L8" s="62">
        <f>+[1]Electrification!P9</f>
        <v>-863000</v>
      </c>
      <c r="M8" s="63">
        <f>+[1]Electrification!L9</f>
        <v>226000000</v>
      </c>
      <c r="N8" s="62">
        <f>+[1]Hybrid!M9</f>
        <v>11596000000</v>
      </c>
      <c r="O8" s="63">
        <f>+[1]Hybrid!N9</f>
        <v>42485</v>
      </c>
      <c r="P8" s="62">
        <f t="shared" si="0"/>
        <v>-500000000</v>
      </c>
      <c r="Q8" s="143">
        <f>+[1]Hybrid!O9</f>
        <v>0.12740000000000001</v>
      </c>
      <c r="R8" s="146"/>
    </row>
    <row r="9" spans="1:18">
      <c r="A9" s="26">
        <f>+'List of Actions'!A8</f>
        <v>6</v>
      </c>
      <c r="B9" s="3" t="str">
        <f>+'List of Actions'!B8</f>
        <v>100% Elec HP &amp; 50% WH in New Com by 2025</v>
      </c>
      <c r="C9" s="3" t="str">
        <f>+[1]Electrification!C10</f>
        <v>Commercial Buildings</v>
      </c>
      <c r="D9" s="3" t="str">
        <f>+[1]Electrification!D10</f>
        <v>Install 100% electric heat pumps in new commercial buildings by 2025</v>
      </c>
      <c r="E9" s="62">
        <f>+[1]Hybrid!E10+[1]Hybrid!E11</f>
        <v>348000000</v>
      </c>
      <c r="F9" s="62">
        <f>+[1]Hybrid!F10+[1]Hybrid!F11</f>
        <v>-390000000</v>
      </c>
      <c r="G9" s="62">
        <f>+[1]Hybrid!G10+[1]Hybrid!G11</f>
        <v>230000000</v>
      </c>
      <c r="H9" s="62">
        <f>+[1]Hybrid!H10+[1]Hybrid!H11</f>
        <v>100000000</v>
      </c>
      <c r="I9" s="62">
        <f>+[1]Hybrid!I10+[1]Hybrid!I11</f>
        <v>54400000</v>
      </c>
      <c r="J9" s="63">
        <f>+[1]Hybrid!J10+[1]Hybrid!J11</f>
        <v>1123000</v>
      </c>
      <c r="K9" s="62">
        <f>+[1]Hybrid!K10+[1]Hybrid!K11</f>
        <v>235.61305181838685</v>
      </c>
      <c r="L9" s="62">
        <f>+[1]Electrification!P10</f>
        <v>-364000</v>
      </c>
      <c r="M9" s="63">
        <f>+[1]Electrification!L10</f>
        <v>58000000</v>
      </c>
      <c r="N9" s="62">
        <f>+[1]Hybrid!M10+[1]Hybrid!M11</f>
        <v>1470100000</v>
      </c>
      <c r="O9" s="63">
        <f>+[1]Hybrid!N10+[1]Hybrid!N11</f>
        <v>1742</v>
      </c>
      <c r="P9" s="62">
        <f>+H9</f>
        <v>100000000</v>
      </c>
      <c r="Q9" s="143">
        <f>+[1]Hybrid!O11</f>
        <v>0</v>
      </c>
      <c r="R9" s="145"/>
    </row>
    <row r="10" spans="1:18">
      <c r="A10" s="26">
        <f>+'List of Actions'!A9</f>
        <v>7</v>
      </c>
      <c r="B10" s="3" t="str">
        <f>+'List of Actions'!B9</f>
        <v>Wz in Existing Res by 2040</v>
      </c>
      <c r="C10" s="3" t="str">
        <f>+[1]Electrification!C12</f>
        <v>Residential Buildings</v>
      </c>
      <c r="D10" s="3" t="str">
        <f>+[1]Electrification!D12</f>
        <v>Retrofit 95% of existing buildings by 2040 - achieve a 50% reduction in space conditioning and non space conditioning energy use</v>
      </c>
      <c r="E10" s="62">
        <f>+[1]Hybrid!E12</f>
        <v>50700000000</v>
      </c>
      <c r="F10" s="62">
        <f>+[1]Hybrid!F12</f>
        <v>-60000000000</v>
      </c>
      <c r="G10" s="62">
        <f>+[1]Hybrid!G12</f>
        <v>700000000</v>
      </c>
      <c r="H10" s="62">
        <f>+[1]Hybrid!H12</f>
        <v>-8600000000</v>
      </c>
      <c r="I10" s="62">
        <f>+[1]Hybrid!I12</f>
        <v>13950300000</v>
      </c>
      <c r="J10" s="63">
        <f>+[1]Hybrid!J12</f>
        <v>19578000</v>
      </c>
      <c r="K10" s="62">
        <f>+[1]Hybrid!K12</f>
        <v>712.55024512207581</v>
      </c>
      <c r="L10" s="62">
        <f>+[1]Electrification!P12</f>
        <v>-714000</v>
      </c>
      <c r="M10" s="63">
        <f>+[1]Electrification!L12</f>
        <v>1110000000</v>
      </c>
      <c r="N10" s="62">
        <f>+[1]Hybrid!M12</f>
        <v>15949000000</v>
      </c>
      <c r="O10" s="63">
        <f>+[1]Hybrid!N12</f>
        <v>168357</v>
      </c>
      <c r="P10" s="62">
        <f>+H10</f>
        <v>-8600000000</v>
      </c>
      <c r="Q10" s="143">
        <f>+[1]Hybrid!O12</f>
        <v>9.1300000000000006E-2</v>
      </c>
    </row>
    <row r="11" spans="1:18">
      <c r="A11" s="26">
        <f>+'List of Actions'!A10</f>
        <v>8</v>
      </c>
      <c r="B11" s="3" t="str">
        <f>+'List of Actions'!B10</f>
        <v>Wz in Existing Com by 2040</v>
      </c>
      <c r="C11" s="3" t="str">
        <f>+[1]Electrification!C13</f>
        <v>Commercial Buildings</v>
      </c>
      <c r="D11" s="3" t="str">
        <f>+[1]Electrification!D13</f>
        <v>Retrofit 95% of existing buildings by 2040 - achieve a 50% reduction in space conditioning and non space conditioning energy use</v>
      </c>
      <c r="E11" s="62">
        <f>+[1]Hybrid!E13</f>
        <v>40400000000</v>
      </c>
      <c r="F11" s="62">
        <f>+[1]Hybrid!F13</f>
        <v>-60300000000</v>
      </c>
      <c r="G11" s="62">
        <f>+[1]Hybrid!G13</f>
        <v>-4700000000</v>
      </c>
      <c r="H11" s="62">
        <f>+[1]Hybrid!H13</f>
        <v>-24600000000</v>
      </c>
      <c r="I11" s="62">
        <f>+[1]Hybrid!I13</f>
        <v>9493100000</v>
      </c>
      <c r="J11" s="63">
        <f>+[1]Hybrid!J13</f>
        <v>21128000</v>
      </c>
      <c r="K11" s="62">
        <f>+[1]Hybrid!K13</f>
        <v>449.31254974441498</v>
      </c>
      <c r="L11" s="62">
        <f>+[1]Electrification!P13</f>
        <v>-759000</v>
      </c>
      <c r="M11" s="63">
        <f>+[1]Electrification!L13</f>
        <v>1161000000</v>
      </c>
      <c r="N11" s="62">
        <f>+[1]Hybrid!M13</f>
        <v>2234900000</v>
      </c>
      <c r="O11" s="63">
        <f>+[1]Hybrid!N13</f>
        <v>122917</v>
      </c>
      <c r="P11" s="62">
        <f t="shared" ref="P11:P16" si="1">+H11</f>
        <v>-24600000000</v>
      </c>
      <c r="Q11" s="143">
        <f>+[1]Hybrid!O13</f>
        <v>0</v>
      </c>
    </row>
    <row r="12" spans="1:18">
      <c r="A12" s="26">
        <f>+'List of Actions'!A11</f>
        <v>9</v>
      </c>
      <c r="B12" s="3" t="str">
        <f>+'List of Actions'!B11</f>
        <v>Existing Res buildings 100% HP by 2043</v>
      </c>
      <c r="C12" s="3" t="str">
        <f>+[1]Electrification!C14</f>
        <v>Residential Equipment</v>
      </c>
      <c r="D12" s="3" t="str">
        <f>+[1]Electrification!D14</f>
        <v>Install 100% electric heat pumps in existing residential buildings by 2043</v>
      </c>
      <c r="E12" s="62">
        <f>+[1]Hybrid!E14</f>
        <v>19700000000</v>
      </c>
      <c r="F12" s="62">
        <f>+[1]Hybrid!F14</f>
        <v>-13300000000</v>
      </c>
      <c r="G12" s="62">
        <f>+[1]Hybrid!G14</f>
        <v>1000000000</v>
      </c>
      <c r="H12" s="62">
        <f>+[1]Hybrid!H14</f>
        <v>7400000000</v>
      </c>
      <c r="I12" s="62">
        <f>+[1]Hybrid!I14</f>
        <v>3690400000</v>
      </c>
      <c r="J12" s="63">
        <f>+[1]Hybrid!J14</f>
        <v>2740000</v>
      </c>
      <c r="K12" s="62">
        <f>+[1]Hybrid!K14</f>
        <v>1346.8505653284672</v>
      </c>
      <c r="L12" s="62">
        <f>+[1]Electrification!P14</f>
        <v>-187000</v>
      </c>
      <c r="M12" s="63">
        <f>+[1]Electrification!L14</f>
        <v>325000000</v>
      </c>
      <c r="N12" s="62">
        <f>+[1]Hybrid!M14</f>
        <v>14984000000</v>
      </c>
      <c r="O12" s="63">
        <f>+[1]Hybrid!N14</f>
        <v>57005</v>
      </c>
      <c r="P12" s="62">
        <f t="shared" si="1"/>
        <v>7400000000</v>
      </c>
      <c r="Q12" s="143">
        <f>+[1]Hybrid!O14</f>
        <v>5.33E-2</v>
      </c>
    </row>
    <row r="13" spans="1:18">
      <c r="A13" s="26">
        <f>+'List of Actions'!A12</f>
        <v>10</v>
      </c>
      <c r="B13" s="3" t="str">
        <f>+'List of Actions'!B12</f>
        <v>Existing Res buildings 100% HPWH by 2043</v>
      </c>
      <c r="C13" s="3" t="str">
        <f>+[1]Electrification!C15</f>
        <v>Residential Equipment</v>
      </c>
      <c r="D13" s="3" t="str">
        <f>+[1]Electrification!D15</f>
        <v>Install 100% electric hot water heat pumps in new residential buildings by 2043</v>
      </c>
      <c r="E13" s="62">
        <f>+[1]Hybrid!E15</f>
        <v>100000000</v>
      </c>
      <c r="F13" s="62">
        <f>+[1]Hybrid!F15</f>
        <v>-3400000000</v>
      </c>
      <c r="G13" s="62">
        <f>+[1]Hybrid!G15</f>
        <v>300000000</v>
      </c>
      <c r="H13" s="62">
        <f>+[1]Hybrid!H15</f>
        <v>-3000000000</v>
      </c>
      <c r="I13" s="62">
        <f>+[1]Hybrid!I15</f>
        <v>-253900000</v>
      </c>
      <c r="J13" s="63">
        <f>+[1]Hybrid!J15</f>
        <v>4470000</v>
      </c>
      <c r="K13" s="62">
        <f>+[1]Hybrid!K15</f>
        <v>-56.809596420581656</v>
      </c>
      <c r="L13" s="62">
        <f>+[1]Electrification!P15</f>
        <v>-183000</v>
      </c>
      <c r="M13" s="63">
        <f>+[1]Electrification!L15</f>
        <v>237000000</v>
      </c>
      <c r="N13" s="62">
        <f>+[1]Hybrid!M15</f>
        <v>207000000</v>
      </c>
      <c r="O13" s="63">
        <f>+[1]Hybrid!N15</f>
        <v>643</v>
      </c>
      <c r="P13" s="62">
        <f t="shared" si="1"/>
        <v>-3000000000</v>
      </c>
      <c r="Q13" s="143">
        <f>+[1]Hybrid!O15</f>
        <v>0</v>
      </c>
    </row>
    <row r="14" spans="1:18">
      <c r="A14" s="26">
        <f>+'List of Actions'!A13</f>
        <v>11</v>
      </c>
      <c r="B14" s="3" t="str">
        <f>+'List of Actions'!B13</f>
        <v>Existing Com buildings 100% HP by 2043</v>
      </c>
      <c r="C14" s="3" t="str">
        <f>+[1]Electrification!C16</f>
        <v>Commercial Buildings</v>
      </c>
      <c r="D14" s="3" t="str">
        <f>+[1]Electrification!D16</f>
        <v>Install 100% electric heat pumps in new commercial buildings by 2043</v>
      </c>
      <c r="E14" s="62">
        <f>+[1]Hybrid!E16</f>
        <v>300000000</v>
      </c>
      <c r="F14" s="62">
        <f>+[1]Hybrid!F16</f>
        <v>-1600000000</v>
      </c>
      <c r="G14" s="62">
        <f>+[1]Hybrid!G16</f>
        <v>500000000</v>
      </c>
      <c r="H14" s="62">
        <f>+[1]Hybrid!H16</f>
        <v>-800000000</v>
      </c>
      <c r="I14" s="62">
        <f>+[1]Hybrid!I16</f>
        <v>-140400000</v>
      </c>
      <c r="J14" s="63">
        <f>+[1]Hybrid!J16</f>
        <v>2813000</v>
      </c>
      <c r="K14" s="62">
        <f>+[1]Hybrid!K16</f>
        <v>-49.928223960184859</v>
      </c>
      <c r="L14" s="62">
        <f>+[1]Electrification!P16</f>
        <v>-126000</v>
      </c>
      <c r="M14" s="63">
        <f>+[1]Electrification!L16</f>
        <v>154000000</v>
      </c>
      <c r="N14" s="62">
        <f>+[1]Hybrid!M16</f>
        <v>628380000</v>
      </c>
      <c r="O14" s="63">
        <f>+[1]Hybrid!N16</f>
        <v>1580</v>
      </c>
      <c r="P14" s="62">
        <f t="shared" si="1"/>
        <v>-800000000</v>
      </c>
      <c r="Q14" s="143">
        <f>+[1]Hybrid!O16</f>
        <v>0</v>
      </c>
    </row>
    <row r="15" spans="1:18">
      <c r="A15" s="26">
        <f>+'List of Actions'!A14</f>
        <v>12</v>
      </c>
      <c r="B15" s="3" t="str">
        <f>+'List of Actions'!B14</f>
        <v>Existing Com buildings 100% HPWH by 2043</v>
      </c>
      <c r="C15" s="3" t="str">
        <f>+[1]Electrification!C17</f>
        <v>Commercial Buildings</v>
      </c>
      <c r="D15" s="3" t="str">
        <f>+[1]Electrification!D17</f>
        <v>Install 50% electric hot water heat pumps in new commercial buildings by 2043</v>
      </c>
      <c r="E15" s="62">
        <f>+[1]Hybrid!E17</f>
        <v>1700000000</v>
      </c>
      <c r="F15" s="62">
        <f>+[1]Hybrid!F17</f>
        <v>-400000000</v>
      </c>
      <c r="G15" s="62">
        <f>+[1]Hybrid!G17</f>
        <v>-100000000</v>
      </c>
      <c r="H15" s="62">
        <f>+[1]Hybrid!H17</f>
        <v>1200000000</v>
      </c>
      <c r="I15" s="62">
        <f>+[1]Hybrid!I17</f>
        <v>699000000</v>
      </c>
      <c r="J15" s="63">
        <f>+[1]Hybrid!J17</f>
        <v>617000</v>
      </c>
      <c r="K15" s="62">
        <f>+[1]Hybrid!K17</f>
        <v>1132.8828330632091</v>
      </c>
      <c r="L15" s="62">
        <f>+[1]Electrification!P17</f>
        <v>-24000</v>
      </c>
      <c r="M15" s="63">
        <f>+[1]Electrification!L17</f>
        <v>19000000</v>
      </c>
      <c r="N15" s="62">
        <f>+[1]Hybrid!M17</f>
        <v>13000000</v>
      </c>
      <c r="O15" s="63">
        <f>+[1]Hybrid!N17</f>
        <v>7937</v>
      </c>
      <c r="P15" s="62">
        <f t="shared" si="1"/>
        <v>1200000000</v>
      </c>
      <c r="Q15" s="143">
        <f>+[1]Hybrid!O17</f>
        <v>0</v>
      </c>
    </row>
    <row r="16" spans="1:18">
      <c r="A16" s="26">
        <f>+'List of Actions'!A15</f>
        <v>13</v>
      </c>
      <c r="B16" s="3" t="str">
        <f>+'List of Actions'!B17</f>
        <v>Non-CPP Ind EE 50% by 2050</v>
      </c>
      <c r="C16" s="3" t="str">
        <f>+[1]Electrification!C20</f>
        <v>Industrial Process</v>
      </c>
      <c r="D16" s="3" t="str">
        <f>+[1]Electrification!D20</f>
        <v>Improve the energy efficiency of industrial facilities not covered by CPP - 50% reduction of energy use by 2050</v>
      </c>
      <c r="E16" s="62">
        <f>+[1]Hybrid!E18</f>
        <v>3900000000</v>
      </c>
      <c r="F16" s="62">
        <f>+[1]Hybrid!F18</f>
        <v>-11900000000</v>
      </c>
      <c r="G16" s="62">
        <f>+[1]Hybrid!G18</f>
        <v>0</v>
      </c>
      <c r="H16" s="62">
        <f>+[1]Hybrid!H18</f>
        <v>-8000000000</v>
      </c>
      <c r="I16" s="62">
        <f>+[1]Hybrid!I18</f>
        <v>-1570600000</v>
      </c>
      <c r="J16" s="63">
        <f>+[1]Hybrid!J18</f>
        <v>13621000</v>
      </c>
      <c r="K16" s="62">
        <f>+[1]Hybrid!K18</f>
        <v>-115.31074678804787</v>
      </c>
      <c r="L16" s="62">
        <f>+[1]Electrification!P18</f>
        <v>-2000</v>
      </c>
      <c r="M16" s="63">
        <f>+[1]Electrification!L18</f>
        <v>1000000</v>
      </c>
      <c r="N16" s="62">
        <f>+[1]Hybrid!M18</f>
        <v>9807900000</v>
      </c>
      <c r="O16" s="63">
        <f>+[1]Hybrid!N18</f>
        <v>21089</v>
      </c>
      <c r="P16" s="62">
        <f t="shared" si="1"/>
        <v>-8000000000</v>
      </c>
      <c r="Q16" s="143">
        <f>+[1]Hybrid!O18</f>
        <v>0</v>
      </c>
    </row>
    <row r="17" spans="1:19">
      <c r="A17" s="26">
        <f>+'List of Actions'!A16</f>
        <v>14</v>
      </c>
      <c r="B17" s="3" t="str">
        <f>+'List of Actions'!B18</f>
        <v>MD/HD Zero Emission Plan</v>
      </c>
      <c r="C17" s="3" t="str">
        <f>+[1]Electrification!C22</f>
        <v>Medium and Heavy Duty vehicles</v>
      </c>
      <c r="D17" s="3" t="str">
        <f>+[1]Electrification!D22</f>
        <v>Implement the Medium and Heavy Duty Zero Emission Plan by 2035</v>
      </c>
      <c r="E17" s="62">
        <f>+[1]Hybrid!E20</f>
        <v>600000000</v>
      </c>
      <c r="F17" s="62">
        <f>+[1]Hybrid!F20</f>
        <v>-26100000000</v>
      </c>
      <c r="G17" s="62">
        <f>+[1]Hybrid!G20</f>
        <v>-26500000000</v>
      </c>
      <c r="H17" s="62">
        <f>+[1]Hybrid!H20</f>
        <v>-52000000000</v>
      </c>
      <c r="I17" s="62">
        <f>+[1]Hybrid!I20</f>
        <v>-10411800000</v>
      </c>
      <c r="J17" s="63">
        <f>+[1]Hybrid!J20</f>
        <v>12337000</v>
      </c>
      <c r="K17" s="62">
        <f>+[1]Hybrid!K20</f>
        <v>-843.9458075707222</v>
      </c>
      <c r="L17" s="62">
        <f>+[1]Electrification!P22</f>
        <v>-228000</v>
      </c>
      <c r="M17" s="63">
        <f>+[1]Electrification!L22</f>
        <v>238000000</v>
      </c>
      <c r="N17" s="62">
        <f>+[1]Hybrid!M20</f>
        <v>259000000</v>
      </c>
      <c r="O17" s="63">
        <f>+[1]Hybrid!N20</f>
        <v>-89701</v>
      </c>
      <c r="P17" s="62">
        <f>+H17</f>
        <v>-52000000000</v>
      </c>
      <c r="Q17" s="143">
        <f>+[1]Hybrid!O20</f>
        <v>0</v>
      </c>
    </row>
    <row r="18" spans="1:19">
      <c r="A18" s="26">
        <f>+'List of Actions'!A17</f>
        <v>15</v>
      </c>
      <c r="B18" s="3" t="str">
        <f>+'List of Actions'!B19</f>
        <v>10% Mode Shift MD to LD</v>
      </c>
      <c r="C18" s="3" t="str">
        <f>+[1]Electrification!C24</f>
        <v>Freight Intensity</v>
      </c>
      <c r="D18" s="3" t="str">
        <f>+[1]Electrification!D24</f>
        <v>Transfer 10% of medium duty vehicle miles traveled to light duty/electric micro-mobility in urban counties by 2035</v>
      </c>
      <c r="E18" s="62">
        <f>+[1]Hybrid!E22</f>
        <v>2900000</v>
      </c>
      <c r="F18" s="62">
        <f>+[1]Hybrid!F22</f>
        <v>-1600000000</v>
      </c>
      <c r="G18" s="62">
        <f>+[1]Hybrid!G22</f>
        <v>-1500000000</v>
      </c>
      <c r="H18" s="62">
        <f>+[1]Hybrid!H22</f>
        <v>-3100000000</v>
      </c>
      <c r="I18" s="62">
        <f>+[1]Hybrid!I22</f>
        <v>-797100000</v>
      </c>
      <c r="J18" s="63">
        <f>+[1]Hybrid!J22</f>
        <v>588000</v>
      </c>
      <c r="K18" s="62">
        <f>+[1]Hybrid!K22</f>
        <v>-1355.6587329931972</v>
      </c>
      <c r="L18" s="62">
        <f>+[1]Electrification!P24</f>
        <v>-25000</v>
      </c>
      <c r="M18" s="63">
        <f>+[1]Electrification!L24</f>
        <v>22000000</v>
      </c>
      <c r="N18" s="62">
        <f>+[1]Hybrid!M22</f>
        <v>16300000</v>
      </c>
      <c r="O18" s="63">
        <f>+[1]Hybrid!N22</f>
        <v>-185</v>
      </c>
      <c r="P18" s="62">
        <f>+H18</f>
        <v>-3100000000</v>
      </c>
      <c r="Q18" s="143">
        <f>+[1]Hybrid!O22</f>
        <v>0</v>
      </c>
    </row>
    <row r="19" spans="1:19">
      <c r="A19" s="26">
        <f>+'List of Actions'!A18</f>
        <v>16</v>
      </c>
      <c r="B19" s="3" t="str">
        <f>+'List of Actions'!B20</f>
        <v>10% Micro-mobility by 2035</v>
      </c>
      <c r="C19" s="3" t="str">
        <f>+[1]Electrification!C26</f>
        <v>Mode Shift</v>
      </c>
      <c r="D19" s="3" t="str">
        <f>+[1]Electrification!D26</f>
        <v>Implement an electric micro-mobility strategy - Electric bikes: 10% of mode share in Portland Metro and Eugene counties is captured by e-bike use by 2035</v>
      </c>
      <c r="E19" s="62">
        <f>+[1]Hybrid!E24</f>
        <v>100000000</v>
      </c>
      <c r="F19" s="62">
        <f>+[1]Hybrid!F24</f>
        <v>-5300000000</v>
      </c>
      <c r="G19" s="62" t="str">
        <f>+[1]Hybrid!G24</f>
        <v>not estimated</v>
      </c>
      <c r="H19" s="62">
        <f>+[1]Hybrid!H24</f>
        <v>-5200000000</v>
      </c>
      <c r="I19" s="62">
        <f>+[1]Hybrid!I24</f>
        <v>-2904500000</v>
      </c>
      <c r="J19" s="63">
        <f>+[1]Hybrid!J24</f>
        <v>3607000</v>
      </c>
      <c r="K19" s="62">
        <f>+[1]Hybrid!K24</f>
        <v>-805.23519406709181</v>
      </c>
      <c r="L19" s="62">
        <f>+[1]Electrification!P26</f>
        <v>-159000</v>
      </c>
      <c r="M19" s="63">
        <f>+[1]Electrification!L26</f>
        <v>104000000</v>
      </c>
      <c r="N19" s="62">
        <f>+[1]Hybrid!M24</f>
        <v>32900000</v>
      </c>
      <c r="O19" s="147" t="str">
        <f>+[1]Hybrid!N24</f>
        <v>medium-low</v>
      </c>
      <c r="P19" s="62">
        <f>+H19</f>
        <v>-5200000000</v>
      </c>
      <c r="Q19" s="143">
        <f>+[1]Hybrid!O24</f>
        <v>0</v>
      </c>
    </row>
    <row r="20" spans="1:19">
      <c r="A20" s="26">
        <f>+'List of Actions'!A19</f>
        <v>17</v>
      </c>
      <c r="B20" s="3" t="str">
        <f>+'List of Actions'!B21</f>
        <v>Increase Amtrak Ridership</v>
      </c>
      <c r="C20" s="3" t="str">
        <f>+[1]Electrification!C27</f>
        <v>Expand Rail</v>
      </c>
      <c r="D20" s="3" t="str">
        <f>+[1]Electrification!D27</f>
        <v>Expand Oregon passenger rail - expanding the ridership of Amtrak</v>
      </c>
      <c r="E20" s="62">
        <f>+[1]Hybrid!E25</f>
        <v>1040000000</v>
      </c>
      <c r="F20" s="62">
        <f>+[1]Hybrid!F25</f>
        <v>-6200000000</v>
      </c>
      <c r="G20" s="62">
        <f>+[1]Hybrid!G25</f>
        <v>38000000</v>
      </c>
      <c r="H20" s="62">
        <f>+[1]Hybrid!H25</f>
        <v>-5100000000</v>
      </c>
      <c r="I20" s="62">
        <f>+[1]Hybrid!I25</f>
        <v>-2916400000</v>
      </c>
      <c r="J20" s="63">
        <f>+[1]Hybrid!J25</f>
        <v>5488000</v>
      </c>
      <c r="K20" s="62">
        <f>+[1]Hybrid!K25</f>
        <v>-531.41356377551017</v>
      </c>
      <c r="L20" s="62">
        <f>+[1]Electrification!P27</f>
        <v>-242000</v>
      </c>
      <c r="M20" s="63">
        <f>+[1]Electrification!L27</f>
        <v>148000000</v>
      </c>
      <c r="N20" s="62">
        <f>+[1]Hybrid!M25</f>
        <v>50000000</v>
      </c>
      <c r="O20" s="147" t="str">
        <f>+[1]Hybrid!N25</f>
        <v>medium-low</v>
      </c>
      <c r="P20" s="62">
        <f t="shared" ref="P20:P23" si="2">+H20</f>
        <v>-5100000000</v>
      </c>
      <c r="Q20" s="143">
        <f>+[1]Hybrid!O25</f>
        <v>0</v>
      </c>
    </row>
    <row r="21" spans="1:19">
      <c r="A21" s="26">
        <f>+'List of Actions'!A20</f>
        <v>18</v>
      </c>
      <c r="B21" s="3" t="str">
        <f>+'List of Actions'!B22</f>
        <v>Carshare Increases by 2035</v>
      </c>
      <c r="C21" s="3" t="str">
        <f>+[1]Electrification!C28</f>
        <v>Vehicle Share</v>
      </c>
      <c r="D21" s="3" t="str">
        <f>+[1]Electrification!D28</f>
        <v>Deploy shared vehicles - Car sharing mode increases by 2035, limited to urban counties</v>
      </c>
      <c r="E21" s="62">
        <f>+[1]Hybrid!E26</f>
        <v>2060000000</v>
      </c>
      <c r="F21" s="62">
        <f>+[1]Hybrid!F26</f>
        <v>-5700000000</v>
      </c>
      <c r="G21" s="62" t="str">
        <f>+[1]Hybrid!G26</f>
        <v>not estimated</v>
      </c>
      <c r="H21" s="62">
        <f>+[1]Hybrid!H26</f>
        <v>-3600000000</v>
      </c>
      <c r="I21" s="62">
        <f>+[1]Hybrid!I26</f>
        <v>-1910800000</v>
      </c>
      <c r="J21" s="63">
        <f>+[1]Hybrid!J26</f>
        <v>5034000</v>
      </c>
      <c r="K21" s="62">
        <f>+[1]Hybrid!K26</f>
        <v>-379.57311620977356</v>
      </c>
      <c r="L21" s="62">
        <f>+[1]Electrification!P28</f>
        <v>-222000</v>
      </c>
      <c r="M21" s="63">
        <f>+[1]Electrification!L28</f>
        <v>135000000</v>
      </c>
      <c r="N21" s="62">
        <f>+[1]Hybrid!M26</f>
        <v>45900000</v>
      </c>
      <c r="O21" s="147" t="str">
        <f>+[1]Hybrid!N26</f>
        <v>medium-low</v>
      </c>
      <c r="P21" s="62">
        <f t="shared" si="2"/>
        <v>-3600000000</v>
      </c>
      <c r="Q21" s="143">
        <f>+[1]Hybrid!O26</f>
        <v>0</v>
      </c>
    </row>
    <row r="22" spans="1:19">
      <c r="A22" s="26">
        <f>+'List of Actions'!A21</f>
        <v>19</v>
      </c>
      <c r="B22" s="3" t="str">
        <f>+'List of Actions'!B23</f>
        <v>Congestion Pricing</v>
      </c>
      <c r="C22" s="3" t="str">
        <f>+[1]Electrification!C29</f>
        <v>Shift to Transit</v>
      </c>
      <c r="D22" s="3" t="str">
        <f>+[1]Electrification!D29</f>
        <v>Implement low emissions zones in urban areas - Congestion pricing achieves a 10% transport mode shift away from private cars to transit in Multnomah, Lane, and Washington counties by 2035</v>
      </c>
      <c r="E22" s="62">
        <f>+[1]Hybrid!E27</f>
        <v>627000000</v>
      </c>
      <c r="F22" s="62">
        <f>+[1]Hybrid!F27</f>
        <v>-2500000000</v>
      </c>
      <c r="G22" s="62">
        <f>+[1]Hybrid!G27</f>
        <v>925000000</v>
      </c>
      <c r="H22" s="62">
        <f>+[1]Hybrid!H27</f>
        <v>-948000000</v>
      </c>
      <c r="I22" s="62">
        <f>+[1]Hybrid!I27</f>
        <v>-628700000</v>
      </c>
      <c r="J22" s="63">
        <f>+[1]Hybrid!J27</f>
        <v>2073000</v>
      </c>
      <c r="K22" s="62">
        <f>+[1]Hybrid!K27</f>
        <v>-303.2991490593343</v>
      </c>
      <c r="L22" s="62">
        <f>+[1]Electrification!P29</f>
        <v>-91000</v>
      </c>
      <c r="M22" s="63">
        <f>+[1]Electrification!L29</f>
        <v>59000000</v>
      </c>
      <c r="N22" s="62">
        <f>+[1]Hybrid!M27</f>
        <v>18700000</v>
      </c>
      <c r="O22" s="147" t="str">
        <f>+[1]Hybrid!N27</f>
        <v>medium-low</v>
      </c>
      <c r="P22" s="62">
        <f t="shared" si="2"/>
        <v>-948000000</v>
      </c>
      <c r="Q22" s="143">
        <f>+[1]Hybrid!O27</f>
        <v>0</v>
      </c>
    </row>
    <row r="23" spans="1:19">
      <c r="A23" s="26">
        <f>+'List of Actions'!A22</f>
        <v>20</v>
      </c>
      <c r="B23" s="3" t="str">
        <f>+'List of Actions'!B24</f>
        <v>Water Systems EE 20% by 2035</v>
      </c>
      <c r="C23" s="3" t="str">
        <f>+[1]Electrification!C30</f>
        <v>Water Efficiency</v>
      </c>
      <c r="D23" s="3" t="str">
        <f>+[1]Electrification!D30</f>
        <v>Enhance the efficiency of the water system - 20% efficiency gain in water distribution system energy use by 2035 as water leakage from older systems are fixed</v>
      </c>
      <c r="E23" s="62">
        <f>+[1]Hybrid!E28</f>
        <v>4000000</v>
      </c>
      <c r="F23" s="62">
        <f>+[1]Hybrid!F28</f>
        <v>-1800000</v>
      </c>
      <c r="G23" s="62" t="str">
        <f>+[1]Hybrid!G28</f>
        <v>not estimated</v>
      </c>
      <c r="H23" s="62">
        <f>+[1]Hybrid!H28</f>
        <v>2200000</v>
      </c>
      <c r="I23" s="62">
        <f>+[1]Hybrid!I28</f>
        <v>1700000</v>
      </c>
      <c r="J23" s="63">
        <f>+[1]Hybrid!J28</f>
        <v>2286000</v>
      </c>
      <c r="K23" s="62">
        <f>+[1]Hybrid!K28</f>
        <v>0.73046281714785655</v>
      </c>
      <c r="L23" s="62">
        <f>+[1]Electrification!P30</f>
        <v>-172000</v>
      </c>
      <c r="M23" s="63">
        <f>+[1]Electrification!L30</f>
        <v>94000</v>
      </c>
      <c r="N23" s="62">
        <f>+[1]Hybrid!M28</f>
        <v>45000</v>
      </c>
      <c r="O23" s="147" t="str">
        <f>+[1]Hybrid!N28</f>
        <v>medium</v>
      </c>
      <c r="P23" s="62">
        <f t="shared" si="2"/>
        <v>2200000</v>
      </c>
      <c r="Q23" s="143">
        <f>+[1]Hybrid!O28</f>
        <v>0</v>
      </c>
    </row>
    <row r="24" spans="1:19">
      <c r="A24" s="26">
        <f>+'List of Actions'!A23</f>
        <v>21</v>
      </c>
      <c r="B24" s="3" t="str">
        <f>+'List of Actions'!B25</f>
        <v>Food Waste Program</v>
      </c>
      <c r="C24" s="3" t="str">
        <f>+[1]Electrification!C32</f>
        <v>Food Waste Program</v>
      </c>
      <c r="D24" s="3" t="str">
        <f>+[1]Electrification!D32</f>
        <v>50% organics diversion by 2030 and the incorporation of CH4 capture through anaerobic digestion</v>
      </c>
      <c r="E24" s="62">
        <f>+[1]Hybrid!E30</f>
        <v>0</v>
      </c>
      <c r="F24" s="62">
        <f>+[1]Hybrid!F30</f>
        <v>0</v>
      </c>
      <c r="G24" s="62">
        <f>+[1]Hybrid!G30</f>
        <v>0</v>
      </c>
      <c r="H24" s="62">
        <f>+[1]Hybrid!H30</f>
        <v>-24610000</v>
      </c>
      <c r="I24" s="62">
        <f>+[1]Hybrid!I30</f>
        <v>0</v>
      </c>
      <c r="J24" s="63">
        <f>+[1]Hybrid!J30</f>
        <v>2572000</v>
      </c>
      <c r="K24" s="62">
        <f>+[1]Hybrid!K30</f>
        <v>-9393</v>
      </c>
      <c r="L24" s="62">
        <f>+[1]Electrification!P32</f>
        <v>0</v>
      </c>
      <c r="M24" s="65">
        <f>+[1]Electrification!L32</f>
        <v>0</v>
      </c>
      <c r="N24" s="132">
        <f>+[1]Hybrid!M30</f>
        <v>0</v>
      </c>
      <c r="O24" s="147" t="str">
        <f>+[1]Hybrid!N30</f>
        <v>medium</v>
      </c>
      <c r="P24" s="62">
        <f>+H24</f>
        <v>-24610000</v>
      </c>
      <c r="Q24" s="143">
        <f>+[1]Hybrid!O30</f>
        <v>0</v>
      </c>
      <c r="R24" s="138"/>
      <c r="S24" t="s">
        <v>273</v>
      </c>
    </row>
    <row r="25" spans="1:19">
      <c r="A25" s="26">
        <f>+'List of Actions'!A24</f>
        <v>22</v>
      </c>
      <c r="B25" s="3" t="str">
        <f>+'List of Actions'!D26</f>
        <v>Ind RH2 70% by 2050</v>
      </c>
      <c r="C25" s="3" t="str">
        <f>+[1]Electrification!C34</f>
        <v>Distributed Energy</v>
      </c>
      <c r="D25" s="3" t="str">
        <f>+[1]Electrification!D34</f>
        <v>Increase building integrated solar adoption - 4 TWh of building integrated solar generation Installed new building stock by 2035</v>
      </c>
      <c r="E25" s="62">
        <f>+[1]Hybrid!E32</f>
        <v>0</v>
      </c>
      <c r="F25" s="62">
        <f>+[1]Hybrid!F32</f>
        <v>7080000000</v>
      </c>
      <c r="G25" s="62">
        <f>+[1]Hybrid!G32</f>
        <v>0</v>
      </c>
      <c r="H25" s="62">
        <f>+[1]Hybrid!H32</f>
        <v>7100000000</v>
      </c>
      <c r="I25" s="62">
        <f>+[1]Hybrid!I32</f>
        <v>1960000000</v>
      </c>
      <c r="J25" s="63">
        <f>+[1]Hybrid!J32</f>
        <v>18863000</v>
      </c>
      <c r="K25" s="62">
        <f>+[1]Hybrid!K32</f>
        <v>10.548478343847744</v>
      </c>
      <c r="L25" s="62">
        <f>+[1]Electrification!P34</f>
        <v>-126000</v>
      </c>
      <c r="M25" s="65">
        <f>+[1]Electrification!L34</f>
        <v>0</v>
      </c>
      <c r="N25" s="132" t="str">
        <f>+[1]Hybrid!M32</f>
        <v>low (2)</v>
      </c>
      <c r="O25" s="63" t="str">
        <f>+[1]Hybrid!N32</f>
        <v>medium-low</v>
      </c>
      <c r="P25" s="62">
        <f>+H25</f>
        <v>7100000000</v>
      </c>
      <c r="Q25" s="143">
        <f>+[1]Hybrid!O32</f>
        <v>0</v>
      </c>
    </row>
    <row r="26" spans="1:19">
      <c r="A26" s="26">
        <f>+'List of Actions'!A25</f>
        <v>23</v>
      </c>
      <c r="B26" s="3" t="str">
        <f>+'List of Actions'!D27</f>
        <v>RNG Full Potential by 2050</v>
      </c>
      <c r="C26" s="3" t="str">
        <f>+[1]Electrification!C35</f>
        <v>Distributed Energy</v>
      </c>
      <c r="D26" s="3" t="str">
        <f>+[1]Electrification!D35</f>
        <v>Enable distributed energy resources - 16.3 TWh of rooftop solar PV generation by 2035</v>
      </c>
      <c r="E26" s="62">
        <f>+[1]Hybrid!E33</f>
        <v>0</v>
      </c>
      <c r="F26" s="62">
        <f>+[1]Hybrid!F33</f>
        <v>5400000000</v>
      </c>
      <c r="G26" s="62">
        <f>+[1]Hybrid!G33</f>
        <v>0</v>
      </c>
      <c r="H26" s="62">
        <f>+[1]Hybrid!H33</f>
        <v>5400000000</v>
      </c>
      <c r="I26" s="62">
        <f>+[1]Hybrid!I33</f>
        <v>1628300000</v>
      </c>
      <c r="J26" s="63">
        <f>+[1]Hybrid!J33</f>
        <v>22617000</v>
      </c>
      <c r="K26" s="62">
        <f>+[1]Hybrid!K33</f>
        <v>71.996275544944069</v>
      </c>
      <c r="L26" s="62">
        <f>+[1]Electrification!P35</f>
        <v>-830000</v>
      </c>
      <c r="M26" s="65">
        <f>+[1]Electrification!L35</f>
        <v>0</v>
      </c>
      <c r="N26" s="132">
        <f>+[1]Hybrid!M33</f>
        <v>0</v>
      </c>
      <c r="O26" s="63" t="str">
        <f>+[1]Hybrid!N33</f>
        <v>medium-low</v>
      </c>
      <c r="P26" s="62">
        <f t="shared" ref="P26:P28" si="3">+H26</f>
        <v>5400000000</v>
      </c>
      <c r="Q26" s="143">
        <f>+[1]Hybrid!O33</f>
        <v>0</v>
      </c>
    </row>
    <row r="27" spans="1:19">
      <c r="A27" s="26">
        <f>+'List of Actions'!A26</f>
        <v>24</v>
      </c>
      <c r="B27" s="3" t="str">
        <f>+'List of Actions'!D28</f>
        <v>RH2 Injection 15% by 2035</v>
      </c>
      <c r="C27" s="3" t="str">
        <f>+[1]Electrification!C36</f>
        <v>Storage</v>
      </c>
      <c r="D27" s="3" t="str">
        <f>+[1]Electrification!D36</f>
        <v>Enhance energy storage - Adds storage capability to 25% of residential non-apartment building stock by 2035, assume each storage unit is spec'd to 14 kwh</v>
      </c>
      <c r="E27" s="62">
        <f>+[1]Hybrid!E34</f>
        <v>0</v>
      </c>
      <c r="F27" s="62">
        <f>+[1]Hybrid!F34</f>
        <v>1400000000</v>
      </c>
      <c r="G27" s="62">
        <f>+[1]Hybrid!G34</f>
        <v>0</v>
      </c>
      <c r="H27" s="62">
        <f>+[1]Hybrid!H34</f>
        <v>1400000000</v>
      </c>
      <c r="I27" s="62">
        <f>+[1]Hybrid!I34</f>
        <v>455700000</v>
      </c>
      <c r="J27" s="63">
        <f>+[1]Hybrid!J34</f>
        <v>6763000</v>
      </c>
      <c r="K27" s="62">
        <f>+[1]Hybrid!K34</f>
        <v>67.37539760461334</v>
      </c>
      <c r="L27" s="62">
        <f>+[1]Electrification!P36</f>
        <v>-89000</v>
      </c>
      <c r="M27" s="65">
        <f>+[1]Electrification!L36</f>
        <v>0</v>
      </c>
      <c r="N27" s="132" t="str">
        <f>+[1]Hybrid!M34</f>
        <v>low (2)</v>
      </c>
      <c r="O27" s="63" t="str">
        <f>+[1]Hybrid!N34</f>
        <v>medium-low</v>
      </c>
      <c r="P27" s="62">
        <f t="shared" si="3"/>
        <v>1400000000</v>
      </c>
      <c r="Q27" s="143">
        <f>+[1]Hybrid!O34</f>
        <v>0</v>
      </c>
    </row>
    <row r="28" spans="1:19">
      <c r="A28" s="26">
        <f>+'List of Actions'!A27</f>
        <v>25</v>
      </c>
      <c r="B28" s="3" t="str">
        <f>+'List of Actions'!D29</f>
        <v>Home Fuel Cells 5% by 2030</v>
      </c>
      <c r="C28" s="3" t="str">
        <f>+[1]Electrification!C37</f>
        <v>Storage</v>
      </c>
      <c r="D28" s="3" t="str">
        <f>+[1]Electrification!D37</f>
        <v>Ensure backup power is clean - 100% diesel backup is replaced by electric battery storage by 2035</v>
      </c>
      <c r="E28" s="62">
        <f>+[1]Hybrid!E35</f>
        <v>2000000000</v>
      </c>
      <c r="F28" s="62">
        <f>+[1]Hybrid!F35</f>
        <v>-4200000000</v>
      </c>
      <c r="G28" s="62">
        <f>+[1]Hybrid!G35</f>
        <v>400000000</v>
      </c>
      <c r="H28" s="62">
        <f>+[1]Hybrid!H35</f>
        <v>-1800000000</v>
      </c>
      <c r="I28" s="62">
        <f>+[1]Hybrid!I35</f>
        <v>-69900000</v>
      </c>
      <c r="J28" s="63">
        <f>+[1]Hybrid!J35</f>
        <v>3409000</v>
      </c>
      <c r="K28" s="62">
        <f>+[1]Hybrid!K35</f>
        <v>-20.508572308594896</v>
      </c>
      <c r="L28" s="62">
        <f>+[1]Electrification!P37</f>
        <v>-23000</v>
      </c>
      <c r="M28" s="65">
        <f>+[1]Electrification!L37</f>
        <v>0</v>
      </c>
      <c r="N28" s="132">
        <f>+[1]Hybrid!M35</f>
        <v>71000000</v>
      </c>
      <c r="O28" s="63">
        <f>+[1]Hybrid!N35</f>
        <v>9294</v>
      </c>
      <c r="P28" s="62">
        <f t="shared" si="3"/>
        <v>-1800000000</v>
      </c>
      <c r="Q28" s="143">
        <f>+[1]Hybrid!O35</f>
        <v>0</v>
      </c>
    </row>
    <row r="30" spans="1:19">
      <c r="Q30" s="48">
        <f>COUNTIF(Q4:Q28,"&gt;0")</f>
        <v>6</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27C5E-CF92-4903-B3B1-7626CC1D5B3F}">
  <sheetPr>
    <tabColor rgb="FF99FF99"/>
  </sheetPr>
  <dimension ref="A1:X52"/>
  <sheetViews>
    <sheetView tabSelected="1" zoomScale="70" zoomScaleNormal="70" workbookViewId="0">
      <selection activeCell="B2" sqref="B2"/>
    </sheetView>
  </sheetViews>
  <sheetFormatPr defaultRowHeight="14.25"/>
  <cols>
    <col min="1" max="1" width="6.5703125" style="207" bestFit="1" customWidth="1"/>
    <col min="2" max="2" width="46.7109375" style="207" customWidth="1"/>
    <col min="3" max="3" width="14.7109375" style="207" customWidth="1"/>
    <col min="4" max="4" width="15.7109375" style="207" customWidth="1"/>
    <col min="5" max="10" width="14.7109375" style="207" customWidth="1"/>
    <col min="11" max="11" width="16" style="207" customWidth="1"/>
    <col min="12" max="13" width="14.7109375" style="207" customWidth="1"/>
    <col min="14" max="14" width="16.7109375" style="207" customWidth="1"/>
    <col min="15" max="15" width="14.7109375" style="207" customWidth="1"/>
    <col min="16" max="16" width="16.140625" style="207" customWidth="1"/>
    <col min="17" max="24" width="14.7109375" style="207" customWidth="1"/>
    <col min="25" max="16384" width="9.140625" style="207"/>
  </cols>
  <sheetData>
    <row r="1" spans="1:24" ht="20.25">
      <c r="A1" s="25" t="s">
        <v>59</v>
      </c>
      <c r="B1" s="205"/>
      <c r="C1" s="205"/>
      <c r="D1" s="205"/>
      <c r="E1" s="206"/>
      <c r="F1" s="206"/>
      <c r="H1" s="206"/>
      <c r="I1" s="206"/>
      <c r="J1" s="206"/>
      <c r="K1" s="206"/>
      <c r="L1" s="206"/>
      <c r="M1" s="206"/>
      <c r="N1" s="206"/>
      <c r="O1" s="206"/>
      <c r="P1" s="206"/>
      <c r="Q1" s="206"/>
      <c r="R1" s="206"/>
      <c r="S1" s="206"/>
      <c r="T1" s="206"/>
      <c r="U1" s="208"/>
      <c r="V1" s="208"/>
    </row>
    <row r="2" spans="1:24" ht="21" thickBot="1">
      <c r="A2" s="25"/>
      <c r="B2" s="315" t="str">
        <f>+Data!B2</f>
        <v>Hybrid Scenario</v>
      </c>
      <c r="C2" s="205"/>
      <c r="D2" s="205"/>
      <c r="E2" s="206"/>
      <c r="F2" s="206"/>
      <c r="H2" s="206"/>
      <c r="I2" s="206"/>
      <c r="J2" s="206"/>
      <c r="K2" s="206"/>
      <c r="L2" s="206"/>
      <c r="M2" s="206"/>
      <c r="N2" s="206"/>
      <c r="O2" s="206"/>
      <c r="P2" s="206"/>
      <c r="Q2" s="206"/>
      <c r="R2" s="206"/>
      <c r="S2" s="206"/>
      <c r="T2" s="206"/>
      <c r="U2" s="208"/>
      <c r="V2" s="208"/>
    </row>
    <row r="3" spans="1:24" ht="16.5" customHeight="1">
      <c r="A3" s="209"/>
      <c r="B3" s="210"/>
      <c r="C3" s="211" t="s">
        <v>19</v>
      </c>
      <c r="D3" s="212"/>
      <c r="E3" s="213" t="s">
        <v>157</v>
      </c>
      <c r="F3" s="214"/>
      <c r="G3" s="214"/>
      <c r="H3" s="214"/>
      <c r="I3" s="214"/>
      <c r="J3" s="214"/>
      <c r="K3" s="215"/>
      <c r="L3" s="213" t="s">
        <v>158</v>
      </c>
      <c r="M3" s="214"/>
      <c r="N3" s="215"/>
      <c r="O3" s="216" t="s">
        <v>54</v>
      </c>
      <c r="P3" s="216"/>
      <c r="Q3" s="216"/>
      <c r="R3" s="216"/>
      <c r="S3" s="216"/>
      <c r="T3" s="217"/>
      <c r="U3" s="218" t="s">
        <v>156</v>
      </c>
      <c r="V3" s="219"/>
      <c r="W3" s="220" t="s">
        <v>224</v>
      </c>
      <c r="X3" s="221" t="s">
        <v>263</v>
      </c>
    </row>
    <row r="4" spans="1:24" ht="30">
      <c r="A4" s="222"/>
      <c r="C4" s="223" t="s">
        <v>57</v>
      </c>
      <c r="D4" s="224" t="s">
        <v>0</v>
      </c>
      <c r="E4" s="225" t="s">
        <v>4</v>
      </c>
      <c r="F4" s="225"/>
      <c r="G4" s="225"/>
      <c r="H4" s="226" t="s">
        <v>2</v>
      </c>
      <c r="I4" s="226"/>
      <c r="J4" s="227" t="s">
        <v>3</v>
      </c>
      <c r="K4" s="227"/>
      <c r="L4" s="228" t="s">
        <v>39</v>
      </c>
      <c r="M4" s="228"/>
      <c r="N4" s="228"/>
      <c r="O4" s="229"/>
      <c r="P4" s="229"/>
      <c r="Q4" s="229"/>
      <c r="R4" s="229"/>
      <c r="S4" s="229"/>
      <c r="T4" s="230"/>
      <c r="U4" s="231"/>
      <c r="V4" s="232"/>
      <c r="W4" s="233"/>
      <c r="X4" s="234"/>
    </row>
    <row r="5" spans="1:24" ht="60.75" thickBot="1">
      <c r="A5" s="235" t="s">
        <v>61</v>
      </c>
      <c r="B5" s="236" t="s">
        <v>60</v>
      </c>
      <c r="C5" s="237" t="s">
        <v>62</v>
      </c>
      <c r="D5" s="238" t="s">
        <v>62</v>
      </c>
      <c r="E5" s="239" t="str">
        <f>+'Eval Crit List'!C5</f>
        <v>Reduction in Air Pollution</v>
      </c>
      <c r="F5" s="239" t="str">
        <f>+'Eval Crit List'!D5</f>
        <v>Alleviate Energy Burden</v>
      </c>
      <c r="G5" s="240" t="str">
        <f>+'Eval Crit List'!E5</f>
        <v>Address Health Inequities</v>
      </c>
      <c r="H5" s="241" t="str">
        <f>+'Eval Crit List'!F5</f>
        <v>Avoided Health Impacts</v>
      </c>
      <c r="I5" s="241" t="str">
        <f>+'Eval Crit List'!G5</f>
        <v>Reduce Other Health Risks</v>
      </c>
      <c r="J5" s="242" t="str">
        <f>+'Eval Crit List'!H5</f>
        <v>Number of Jobs</v>
      </c>
      <c r="K5" s="242" t="str">
        <f>+'Eval Crit List'!I5</f>
        <v>Energy &amp; Transportation Savings</v>
      </c>
      <c r="L5" s="243" t="str">
        <f>+'Eval Crit List'!J5</f>
        <v>Technical Feasibility</v>
      </c>
      <c r="M5" s="243" t="str">
        <f>+'Eval Crit List'!K5</f>
        <v>Political Feasibility</v>
      </c>
      <c r="N5" s="243" t="str">
        <f>+'Eval Crit List'!L5</f>
        <v>Implementation Timing</v>
      </c>
      <c r="O5" s="244" t="str">
        <f>+C4</f>
        <v>GHG Reduction</v>
      </c>
      <c r="P5" s="244" t="str">
        <f>+D4</f>
        <v>Cost-Effectiveness</v>
      </c>
      <c r="Q5" s="244" t="str">
        <f>+E4</f>
        <v>Equity Co-Benefit</v>
      </c>
      <c r="R5" s="244" t="str">
        <f>+H4</f>
        <v>Health Co-Benefit</v>
      </c>
      <c r="S5" s="244" t="str">
        <f>+J4</f>
        <v>Jobs and Economic Prosperity Co-Benefit</v>
      </c>
      <c r="T5" s="245" t="str">
        <f>+L4</f>
        <v>Risk and Uncertainty</v>
      </c>
      <c r="U5" s="246" t="s">
        <v>55</v>
      </c>
      <c r="V5" s="247" t="s">
        <v>56</v>
      </c>
      <c r="W5" s="248" t="s">
        <v>56</v>
      </c>
      <c r="X5" s="249" t="s">
        <v>159</v>
      </c>
    </row>
    <row r="6" spans="1:24" ht="15">
      <c r="A6" s="250"/>
      <c r="B6" s="251" t="s">
        <v>107</v>
      </c>
      <c r="C6" s="252">
        <f>+'Eval Crit List'!A7</f>
        <v>29</v>
      </c>
      <c r="D6" s="253">
        <f>+'Eval Crit List'!B7</f>
        <v>15</v>
      </c>
      <c r="E6" s="254">
        <f>+'Eval Crit List'!C7</f>
        <v>6.4</v>
      </c>
      <c r="F6" s="254">
        <f>+'Eval Crit List'!D7</f>
        <v>3.2</v>
      </c>
      <c r="G6" s="254">
        <f>+'Eval Crit List'!E7</f>
        <v>6.4</v>
      </c>
      <c r="H6" s="255">
        <f>+'Eval Crit List'!F7</f>
        <v>7.5</v>
      </c>
      <c r="I6" s="255">
        <f>+'Eval Crit List'!G7</f>
        <v>7.5</v>
      </c>
      <c r="J6" s="256">
        <f>+'Eval Crit List'!H7</f>
        <v>7</v>
      </c>
      <c r="K6" s="256">
        <f>+'Eval Crit List'!I7</f>
        <v>7</v>
      </c>
      <c r="L6" s="257">
        <f>+'Eval Crit List'!J7</f>
        <v>4.4000000000000004</v>
      </c>
      <c r="M6" s="257">
        <f>+'Eval Crit List'!K7</f>
        <v>4.4000000000000004</v>
      </c>
      <c r="N6" s="257">
        <f>+'Eval Crit List'!L7</f>
        <v>2.2000000000000002</v>
      </c>
      <c r="O6" s="258">
        <f>+'Eval Crit List'!A8</f>
        <v>29</v>
      </c>
      <c r="P6" s="258">
        <f>+'Eval Crit List'!B8</f>
        <v>15</v>
      </c>
      <c r="Q6" s="258">
        <f>+'Eval Crit List'!C8</f>
        <v>16</v>
      </c>
      <c r="R6" s="258">
        <f>+'Eval Crit List'!F8</f>
        <v>15</v>
      </c>
      <c r="S6" s="258">
        <f>+'Eval Crit List'!H8</f>
        <v>14</v>
      </c>
      <c r="T6" s="259">
        <f>+'Eval Crit List'!J8</f>
        <v>11</v>
      </c>
      <c r="U6" s="260">
        <f>SUM(O6:T6)</f>
        <v>100</v>
      </c>
      <c r="V6" s="261"/>
      <c r="W6" s="262"/>
      <c r="X6" s="263"/>
    </row>
    <row r="7" spans="1:24" ht="15.75" thickBot="1">
      <c r="A7" s="264"/>
      <c r="B7" s="265" t="s">
        <v>108</v>
      </c>
      <c r="C7" s="266">
        <f>+'Eval Crit List'!A6</f>
        <v>1</v>
      </c>
      <c r="D7" s="267">
        <f>+'Eval Crit List'!B6</f>
        <v>1</v>
      </c>
      <c r="E7" s="268">
        <f>+'Eval Crit List'!C6</f>
        <v>0.4</v>
      </c>
      <c r="F7" s="268">
        <f>+'Eval Crit List'!D6</f>
        <v>0.2</v>
      </c>
      <c r="G7" s="268">
        <f>+'Eval Crit List'!E6</f>
        <v>0.4</v>
      </c>
      <c r="H7" s="269">
        <f>+'Eval Crit List'!F6</f>
        <v>0.5</v>
      </c>
      <c r="I7" s="269">
        <f>+'Eval Crit List'!G6</f>
        <v>0.5</v>
      </c>
      <c r="J7" s="270">
        <f>+'Eval Crit List'!H6</f>
        <v>0.5</v>
      </c>
      <c r="K7" s="270">
        <f>+'Eval Crit List'!I6</f>
        <v>0.5</v>
      </c>
      <c r="L7" s="271">
        <f>+'Eval Crit List'!J6</f>
        <v>0.4</v>
      </c>
      <c r="M7" s="271">
        <f>+'Eval Crit List'!K6</f>
        <v>0.4</v>
      </c>
      <c r="N7" s="271">
        <f>+'Eval Crit List'!L6</f>
        <v>0.2</v>
      </c>
      <c r="O7" s="272">
        <v>0.28999999999999998</v>
      </c>
      <c r="P7" s="272">
        <v>0.15</v>
      </c>
      <c r="Q7" s="272">
        <v>0.16</v>
      </c>
      <c r="R7" s="272">
        <v>0.15</v>
      </c>
      <c r="S7" s="272">
        <v>0.14000000000000001</v>
      </c>
      <c r="T7" s="273">
        <v>0.11</v>
      </c>
      <c r="U7" s="274">
        <f>SUM(O7:T7)</f>
        <v>1</v>
      </c>
      <c r="V7" s="275"/>
      <c r="W7" s="262"/>
      <c r="X7" s="263"/>
    </row>
    <row r="8" spans="1:24" ht="15">
      <c r="A8" s="276">
        <f>+'List of Actions'!A3</f>
        <v>1</v>
      </c>
      <c r="B8" s="277" t="str">
        <f>+'List of Actions'!B3</f>
        <v>Reduced Res Floor Area</v>
      </c>
      <c r="C8" s="278">
        <f>VLOOKUP(B8,'GHG Reduction Scoring Bin'!$B$20:$G$44,6,FALSE)</f>
        <v>2</v>
      </c>
      <c r="D8" s="279">
        <f>VLOOKUP(B8,'Cost-Effectiveness Scoring Bin'!$B$20:$G$45,6,FALSE)</f>
        <v>6</v>
      </c>
      <c r="E8" s="280">
        <f>VLOOKUP(B8,'Equity Scoring Bin'!$B$21:$F$46,5,FALSE)</f>
        <v>4</v>
      </c>
      <c r="F8" s="280">
        <f>VLOOKUP(B8,'Equity Scoring Bin'!$K$21:$O$47,5,FALSE)</f>
        <v>1</v>
      </c>
      <c r="G8" s="280">
        <f>VLOOKUP(B8,'Equity Scoring Bin'!$T$21:$V$47,3,FALSE)</f>
        <v>0</v>
      </c>
      <c r="H8" s="281">
        <f>VLOOKUP(B8,'Health Scoring Bin'!$B$21:$F$46,5,FALSE)</f>
        <v>4</v>
      </c>
      <c r="I8" s="281">
        <f>VLOOKUP(B8,'Health Scoring Bin'!$L$21:$N$47,3,FALSE)</f>
        <v>0</v>
      </c>
      <c r="J8" s="282">
        <f>VLOOKUP(B8,'Jobs-Econ Prosp Scoring Bin'!$B$21:$G$47,6,FALSE)</f>
        <v>4</v>
      </c>
      <c r="K8" s="282">
        <f>VLOOKUP(B8,'Jobs-Econ Prosp Scoring Bin'!$L$21:$Q$47,6,FALSE)</f>
        <v>2</v>
      </c>
      <c r="L8" s="283">
        <f>VLOOKUP(B8,'Risk &amp; Uncertainty Scoring Bin'!$B$13:$D$37,3,FALSE)+VLOOKUP(B8,'Risk &amp; Uncertainty Scoring Bin'!$F$13:$H$37,3,FALSE)</f>
        <v>16</v>
      </c>
      <c r="M8" s="283">
        <f>VLOOKUP(B8,'Risk &amp; Uncertainty Scoring Bin'!$J$13:$L$37,3,FALSE)+VLOOKUP(B8,'Risk &amp; Uncertainty Scoring Bin'!$N$13:$P$37,3,FALSE)</f>
        <v>16</v>
      </c>
      <c r="N8" s="283">
        <f>VLOOKUP(B8,'Risk &amp; Uncertainty Scoring Bin'!$R$13:$T$37,3,FALSE)</f>
        <v>5</v>
      </c>
      <c r="O8" s="284">
        <f>C8*$C$7</f>
        <v>2</v>
      </c>
      <c r="P8" s="284">
        <f>D8*$D$7</f>
        <v>6</v>
      </c>
      <c r="Q8" s="285">
        <f>(E8*$E$7)+(F8*$F$7)+(G8*$G$7)</f>
        <v>1.8</v>
      </c>
      <c r="R8" s="284">
        <f>(H8*$H$7)+(I8*$I$7)</f>
        <v>2</v>
      </c>
      <c r="S8" s="284">
        <f>(J8*$J$7)+(K8*$K$7)</f>
        <v>3</v>
      </c>
      <c r="T8" s="286">
        <f>(L8*$L$7)+(M8*$M$7)+(N8*$N$7)</f>
        <v>13.8</v>
      </c>
      <c r="U8" s="287">
        <f>((O8*$O$7)+(P8*$P$7)+(Q8*$Q$7)+(R8*$R$7)+(S8*$S$7)+(T8*$T$7))*10</f>
        <v>40.06</v>
      </c>
      <c r="V8" s="288">
        <f t="shared" ref="V8:V32" si="0">RANK(U8,$U$8:$U$32)</f>
        <v>22</v>
      </c>
      <c r="W8" s="289">
        <f>_xlfn.RANK.EQ(Data!K4,Data!$K$4:$K$28,1)</f>
        <v>3</v>
      </c>
      <c r="X8" s="290">
        <f>+W8-V8</f>
        <v>-19</v>
      </c>
    </row>
    <row r="9" spans="1:24" ht="15">
      <c r="A9" s="291">
        <f>+'List of Actions'!A4</f>
        <v>2</v>
      </c>
      <c r="B9" s="292" t="str">
        <f>+'List of Actions'!B4</f>
        <v>Higher Urban Res Density</v>
      </c>
      <c r="C9" s="278">
        <f>VLOOKUP(B9,'GHG Reduction Scoring Bin'!$B$20:$G$44,6,FALSE)</f>
        <v>1</v>
      </c>
      <c r="D9" s="279">
        <f>VLOOKUP(B9,'Cost-Effectiveness Scoring Bin'!$B$20:$G$45,6,FALSE)</f>
        <v>10</v>
      </c>
      <c r="E9" s="280">
        <f>VLOOKUP(B9,'Equity Scoring Bin'!$B$21:$F$46,5,FALSE)</f>
        <v>3</v>
      </c>
      <c r="F9" s="280">
        <f>VLOOKUP(B9,'Equity Scoring Bin'!$K$21:$O$47,5,FALSE)</f>
        <v>1</v>
      </c>
      <c r="G9" s="280">
        <f>VLOOKUP(B9,'Equity Scoring Bin'!$T$21:$V$47,3,FALSE)</f>
        <v>6</v>
      </c>
      <c r="H9" s="281">
        <f>VLOOKUP(B9,'Health Scoring Bin'!$B$21:$F$46,5,FALSE)</f>
        <v>3</v>
      </c>
      <c r="I9" s="281">
        <f>VLOOKUP(B9,'Health Scoring Bin'!$L$21:$N$47,3,FALSE)</f>
        <v>6</v>
      </c>
      <c r="J9" s="282">
        <f>VLOOKUP(B9,'Jobs-Econ Prosp Scoring Bin'!$B$21:$G$47,6,FALSE)</f>
        <v>1</v>
      </c>
      <c r="K9" s="282">
        <f>VLOOKUP(B9,'Jobs-Econ Prosp Scoring Bin'!$L$21:$Q$47,6,FALSE)</f>
        <v>2</v>
      </c>
      <c r="L9" s="283">
        <f>VLOOKUP(B9,'Risk &amp; Uncertainty Scoring Bin'!$B$13:$D$37,3,FALSE)+VLOOKUP(B9,'Risk &amp; Uncertainty Scoring Bin'!$F$13:$H$37,3,FALSE)</f>
        <v>14</v>
      </c>
      <c r="M9" s="283">
        <f>VLOOKUP(B9,'Risk &amp; Uncertainty Scoring Bin'!$J$13:$L$37,3,FALSE)+VLOOKUP(B9,'Risk &amp; Uncertainty Scoring Bin'!$N$13:$P$37,3,FALSE)</f>
        <v>18</v>
      </c>
      <c r="N9" s="283">
        <f>VLOOKUP(B9,'Risk &amp; Uncertainty Scoring Bin'!$R$13:$T$37,3,FALSE)</f>
        <v>0</v>
      </c>
      <c r="O9" s="284">
        <f t="shared" ref="O9:O32" si="1">C9*$C$7</f>
        <v>1</v>
      </c>
      <c r="P9" s="284">
        <f t="shared" ref="P9:P32" si="2">D9*$D$7</f>
        <v>10</v>
      </c>
      <c r="Q9" s="285">
        <f t="shared" ref="Q9:Q32" si="3">(E9*$E$7)+(F9*$F$7)+(G9*$G$7)</f>
        <v>3.8000000000000007</v>
      </c>
      <c r="R9" s="284">
        <f t="shared" ref="R9:R32" si="4">(H9*$H$7)+(I9*$I$7)</f>
        <v>4.5</v>
      </c>
      <c r="S9" s="284">
        <f t="shared" ref="S9:S32" si="5">(J9*$J$7)+(K9*$K$7)</f>
        <v>1.5</v>
      </c>
      <c r="T9" s="286">
        <f t="shared" ref="T9:T32" si="6">(L9*$L$7)+(M9*$M$7)+(N9*$N$7)</f>
        <v>12.8</v>
      </c>
      <c r="U9" s="287">
        <f t="shared" ref="U9:U32" si="7">((O9*$O$7)+(P9*$P$7)+(Q9*$Q$7)+(R9*$R$7)+(S9*$S$7)+(T9*$T$7))*10</f>
        <v>46.91</v>
      </c>
      <c r="V9" s="288">
        <f t="shared" si="0"/>
        <v>15</v>
      </c>
      <c r="W9" s="289">
        <f>_xlfn.RANK.EQ(Data!K5,Data!$K$4:$K$28,1)</f>
        <v>1</v>
      </c>
      <c r="X9" s="290">
        <f t="shared" ref="X9:X32" si="8">+W9-V9</f>
        <v>-14</v>
      </c>
    </row>
    <row r="10" spans="1:24" ht="15">
      <c r="A10" s="291">
        <f>+'List of Actions'!A5</f>
        <v>3</v>
      </c>
      <c r="B10" s="292" t="str">
        <f>+'List of Actions'!B5</f>
        <v>Res Code Reduction 60% by 2030</v>
      </c>
      <c r="C10" s="278">
        <f>VLOOKUP(B10,'GHG Reduction Scoring Bin'!$B$20:$G$44,6,FALSE)</f>
        <v>5</v>
      </c>
      <c r="D10" s="279">
        <f>VLOOKUP(B10,'Cost-Effectiveness Scoring Bin'!$B$20:$G$45,6,FALSE)</f>
        <v>4</v>
      </c>
      <c r="E10" s="280">
        <f>VLOOKUP(B10,'Equity Scoring Bin'!$B$21:$F$46,5,FALSE)</f>
        <v>4</v>
      </c>
      <c r="F10" s="280">
        <f>VLOOKUP(B10,'Equity Scoring Bin'!$K$21:$O$47,5,FALSE)</f>
        <v>1</v>
      </c>
      <c r="G10" s="280">
        <f>VLOOKUP(B10,'Equity Scoring Bin'!$T$21:$V$47,3,FALSE)</f>
        <v>10</v>
      </c>
      <c r="H10" s="281">
        <f>VLOOKUP(B10,'Health Scoring Bin'!$B$21:$F$46,5,FALSE)</f>
        <v>4</v>
      </c>
      <c r="I10" s="281">
        <f>VLOOKUP(B10,'Health Scoring Bin'!$L$21:$N$47,3,FALSE)</f>
        <v>10</v>
      </c>
      <c r="J10" s="282">
        <f>VLOOKUP(B10,'Jobs-Econ Prosp Scoring Bin'!$B$21:$G$47,6,FALSE)</f>
        <v>6</v>
      </c>
      <c r="K10" s="282">
        <f>VLOOKUP(B10,'Jobs-Econ Prosp Scoring Bin'!$L$21:$Q$47,6,FALSE)</f>
        <v>3</v>
      </c>
      <c r="L10" s="283">
        <f>VLOOKUP(B10,'Risk &amp; Uncertainty Scoring Bin'!$B$13:$D$37,3,FALSE)+VLOOKUP(B10,'Risk &amp; Uncertainty Scoring Bin'!$F$13:$H$37,3,FALSE)</f>
        <v>20</v>
      </c>
      <c r="M10" s="283">
        <f>VLOOKUP(B10,'Risk &amp; Uncertainty Scoring Bin'!$J$13:$L$37,3,FALSE)+VLOOKUP(B10,'Risk &amp; Uncertainty Scoring Bin'!$N$13:$P$37,3,FALSE)</f>
        <v>14</v>
      </c>
      <c r="N10" s="283">
        <f>VLOOKUP(B10,'Risk &amp; Uncertainty Scoring Bin'!$R$13:$T$37,3,FALSE)</f>
        <v>10</v>
      </c>
      <c r="O10" s="284">
        <f t="shared" si="1"/>
        <v>5</v>
      </c>
      <c r="P10" s="284">
        <f t="shared" si="2"/>
        <v>4</v>
      </c>
      <c r="Q10" s="285">
        <f t="shared" si="3"/>
        <v>5.8</v>
      </c>
      <c r="R10" s="284">
        <f t="shared" si="4"/>
        <v>7</v>
      </c>
      <c r="S10" s="284">
        <f t="shared" si="5"/>
        <v>4.5</v>
      </c>
      <c r="T10" s="286">
        <f t="shared" si="6"/>
        <v>15.600000000000001</v>
      </c>
      <c r="U10" s="287">
        <f t="shared" si="7"/>
        <v>63.739999999999995</v>
      </c>
      <c r="V10" s="288">
        <f t="shared" si="0"/>
        <v>3</v>
      </c>
      <c r="W10" s="289">
        <f>_xlfn.RANK.EQ(Data!K6,Data!$K$4:$K$28,1)</f>
        <v>11</v>
      </c>
      <c r="X10" s="290">
        <f t="shared" si="8"/>
        <v>8</v>
      </c>
    </row>
    <row r="11" spans="1:24" ht="15">
      <c r="A11" s="291">
        <f>+'List of Actions'!A6</f>
        <v>4</v>
      </c>
      <c r="B11" s="292" t="str">
        <f>+'List of Actions'!B6</f>
        <v>Com Code Reduction 60% by 2030</v>
      </c>
      <c r="C11" s="278">
        <f>VLOOKUP(B11,'GHG Reduction Scoring Bin'!$B$20:$G$44,6,FALSE)</f>
        <v>6</v>
      </c>
      <c r="D11" s="279">
        <f>VLOOKUP(B11,'Cost-Effectiveness Scoring Bin'!$B$20:$G$45,6,FALSE)</f>
        <v>3</v>
      </c>
      <c r="E11" s="280">
        <f>VLOOKUP(B11,'Equity Scoring Bin'!$B$21:$F$46,5,FALSE)</f>
        <v>3</v>
      </c>
      <c r="F11" s="280">
        <f>VLOOKUP(B11,'Equity Scoring Bin'!$K$21:$O$47,5,FALSE)</f>
        <v>1</v>
      </c>
      <c r="G11" s="280">
        <f>VLOOKUP(B11,'Equity Scoring Bin'!$T$21:$V$47,3,FALSE)</f>
        <v>8</v>
      </c>
      <c r="H11" s="281">
        <f>VLOOKUP(B11,'Health Scoring Bin'!$B$21:$F$46,5,FALSE)</f>
        <v>3</v>
      </c>
      <c r="I11" s="281">
        <f>VLOOKUP(B11,'Health Scoring Bin'!$L$21:$N$47,3,FALSE)</f>
        <v>8</v>
      </c>
      <c r="J11" s="282">
        <f>VLOOKUP(B11,'Jobs-Econ Prosp Scoring Bin'!$B$21:$G$47,6,FALSE)</f>
        <v>6</v>
      </c>
      <c r="K11" s="282">
        <f>VLOOKUP(B11,'Jobs-Econ Prosp Scoring Bin'!$L$21:$Q$47,6,FALSE)</f>
        <v>7</v>
      </c>
      <c r="L11" s="283">
        <f>VLOOKUP(B11,'Risk &amp; Uncertainty Scoring Bin'!$B$13:$D$37,3,FALSE)+VLOOKUP(B11,'Risk &amp; Uncertainty Scoring Bin'!$F$13:$H$37,3,FALSE)</f>
        <v>20</v>
      </c>
      <c r="M11" s="283">
        <f>VLOOKUP(B11,'Risk &amp; Uncertainty Scoring Bin'!$J$13:$L$37,3,FALSE)+VLOOKUP(B11,'Risk &amp; Uncertainty Scoring Bin'!$N$13:$P$37,3,FALSE)</f>
        <v>10</v>
      </c>
      <c r="N11" s="283">
        <f>VLOOKUP(B11,'Risk &amp; Uncertainty Scoring Bin'!$R$13:$T$37,3,FALSE)</f>
        <v>10</v>
      </c>
      <c r="O11" s="284">
        <f t="shared" si="1"/>
        <v>6</v>
      </c>
      <c r="P11" s="284">
        <f t="shared" si="2"/>
        <v>3</v>
      </c>
      <c r="Q11" s="285">
        <f t="shared" si="3"/>
        <v>4.6000000000000005</v>
      </c>
      <c r="R11" s="284">
        <f t="shared" si="4"/>
        <v>5.5</v>
      </c>
      <c r="S11" s="284">
        <f t="shared" si="5"/>
        <v>6.5</v>
      </c>
      <c r="T11" s="286">
        <f t="shared" si="6"/>
        <v>14</v>
      </c>
      <c r="U11" s="287">
        <f t="shared" si="7"/>
        <v>62.01</v>
      </c>
      <c r="V11" s="288">
        <f t="shared" si="0"/>
        <v>5</v>
      </c>
      <c r="W11" s="289">
        <f>_xlfn.RANK.EQ(Data!K7,Data!$K$4:$K$28,1)</f>
        <v>20</v>
      </c>
      <c r="X11" s="290">
        <f t="shared" si="8"/>
        <v>15</v>
      </c>
    </row>
    <row r="12" spans="1:24" ht="15">
      <c r="A12" s="291">
        <f>+'List of Actions'!A7</f>
        <v>5</v>
      </c>
      <c r="B12" s="292" t="str">
        <f>+'List of Actions'!B7</f>
        <v>100% Elec HP &amp; WH in New Res by 2025</v>
      </c>
      <c r="C12" s="278">
        <f>VLOOKUP(B12,'GHG Reduction Scoring Bin'!$B$20:$G$44,6,FALSE)</f>
        <v>4</v>
      </c>
      <c r="D12" s="279">
        <f>VLOOKUP(B12,'Cost-Effectiveness Scoring Bin'!$B$20:$G$45,6,FALSE)</f>
        <v>3</v>
      </c>
      <c r="E12" s="280">
        <f>VLOOKUP(B12,'Equity Scoring Bin'!$B$21:$F$46,5,FALSE)</f>
        <v>7</v>
      </c>
      <c r="F12" s="280">
        <f>VLOOKUP(B12,'Equity Scoring Bin'!$K$21:$O$47,5,FALSE)</f>
        <v>4</v>
      </c>
      <c r="G12" s="280">
        <f>VLOOKUP(B12,'Equity Scoring Bin'!$T$21:$V$47,3,FALSE)</f>
        <v>8</v>
      </c>
      <c r="H12" s="281">
        <f>VLOOKUP(B12,'Health Scoring Bin'!$B$21:$F$46,5,FALSE)</f>
        <v>7</v>
      </c>
      <c r="I12" s="281">
        <f>VLOOKUP(B12,'Health Scoring Bin'!$L$21:$N$47,3,FALSE)</f>
        <v>10</v>
      </c>
      <c r="J12" s="282">
        <f>VLOOKUP(B12,'Jobs-Econ Prosp Scoring Bin'!$B$21:$G$47,6,FALSE)</f>
        <v>6</v>
      </c>
      <c r="K12" s="282">
        <f>VLOOKUP(B12,'Jobs-Econ Prosp Scoring Bin'!$L$21:$Q$47,6,FALSE)</f>
        <v>4</v>
      </c>
      <c r="L12" s="283">
        <f>VLOOKUP(B12,'Risk &amp; Uncertainty Scoring Bin'!$B$13:$D$37,3,FALSE)+VLOOKUP(B12,'Risk &amp; Uncertainty Scoring Bin'!$F$13:$H$37,3,FALSE)</f>
        <v>14</v>
      </c>
      <c r="M12" s="283">
        <f>VLOOKUP(B12,'Risk &amp; Uncertainty Scoring Bin'!$J$13:$L$37,3,FALSE)+VLOOKUP(B13,'Risk &amp; Uncertainty Scoring Bin'!$N$13:$P$37,3,FALSE)</f>
        <v>14</v>
      </c>
      <c r="N12" s="283">
        <f>VLOOKUP(B12,'Risk &amp; Uncertainty Scoring Bin'!$R$13:$T$37,3,FALSE)</f>
        <v>10</v>
      </c>
      <c r="O12" s="284">
        <f t="shared" si="1"/>
        <v>4</v>
      </c>
      <c r="P12" s="284">
        <f t="shared" si="2"/>
        <v>3</v>
      </c>
      <c r="Q12" s="285">
        <f t="shared" si="3"/>
        <v>6.8000000000000007</v>
      </c>
      <c r="R12" s="284">
        <f t="shared" si="4"/>
        <v>8.5</v>
      </c>
      <c r="S12" s="284">
        <f t="shared" si="5"/>
        <v>5</v>
      </c>
      <c r="T12" s="286">
        <f t="shared" si="6"/>
        <v>13.200000000000001</v>
      </c>
      <c r="U12" s="287">
        <f t="shared" si="7"/>
        <v>61.25</v>
      </c>
      <c r="V12" s="288">
        <f t="shared" si="0"/>
        <v>6</v>
      </c>
      <c r="W12" s="289">
        <f>_xlfn.RANK.EQ(Data!K8,Data!$K$4:$K$28,1)</f>
        <v>19</v>
      </c>
      <c r="X12" s="290">
        <f t="shared" si="8"/>
        <v>13</v>
      </c>
    </row>
    <row r="13" spans="1:24" ht="15">
      <c r="A13" s="291">
        <f>+'List of Actions'!A8</f>
        <v>6</v>
      </c>
      <c r="B13" s="292" t="str">
        <f>+'List of Actions'!B8</f>
        <v>100% Elec HP &amp; 50% WH in New Com by 2025</v>
      </c>
      <c r="C13" s="278">
        <f>VLOOKUP(B13,'GHG Reduction Scoring Bin'!$B$20:$G$44,6,FALSE)</f>
        <v>1</v>
      </c>
      <c r="D13" s="279">
        <f>VLOOKUP(B13,'Cost-Effectiveness Scoring Bin'!$B$20:$G$45,6,FALSE)</f>
        <v>3</v>
      </c>
      <c r="E13" s="280">
        <f>VLOOKUP(B13,'Equity Scoring Bin'!$B$21:$F$46,5,FALSE)</f>
        <v>4</v>
      </c>
      <c r="F13" s="280">
        <f>VLOOKUP(B13,'Equity Scoring Bin'!$K$21:$O$47,5,FALSE)</f>
        <v>1</v>
      </c>
      <c r="G13" s="280">
        <f>VLOOKUP(B13,'Equity Scoring Bin'!$T$21:$V$47,3,FALSE)</f>
        <v>10</v>
      </c>
      <c r="H13" s="281">
        <f>VLOOKUP(B13,'Health Scoring Bin'!$B$21:$F$46,5,FALSE)</f>
        <v>4</v>
      </c>
      <c r="I13" s="281">
        <f>VLOOKUP(B13,'Health Scoring Bin'!$L$21:$N$47,3,FALSE)</f>
        <v>8</v>
      </c>
      <c r="J13" s="282">
        <f>VLOOKUP(B13,'Jobs-Econ Prosp Scoring Bin'!$B$21:$G$47,6,FALSE)</f>
        <v>4</v>
      </c>
      <c r="K13" s="282">
        <f>VLOOKUP(B13,'Jobs-Econ Prosp Scoring Bin'!$L$21:$Q$47,6,FALSE)</f>
        <v>6</v>
      </c>
      <c r="L13" s="283">
        <f>VLOOKUP(B13,'Risk &amp; Uncertainty Scoring Bin'!$B$13:$D$37,3,FALSE)+VLOOKUP(B13,'Risk &amp; Uncertainty Scoring Bin'!$F$13:$H$37,3,FALSE)</f>
        <v>14</v>
      </c>
      <c r="M13" s="283">
        <f>VLOOKUP(B13,'Risk &amp; Uncertainty Scoring Bin'!$J$13:$L$37,3,FALSE)+VLOOKUP(B12,'Risk &amp; Uncertainty Scoring Bin'!$N$13:$P$37,3,FALSE)</f>
        <v>12</v>
      </c>
      <c r="N13" s="283">
        <f>VLOOKUP(B13,'Risk &amp; Uncertainty Scoring Bin'!$R$13:$T$37,3,FALSE)</f>
        <v>10</v>
      </c>
      <c r="O13" s="284">
        <f t="shared" si="1"/>
        <v>1</v>
      </c>
      <c r="P13" s="284">
        <f t="shared" si="2"/>
        <v>3</v>
      </c>
      <c r="Q13" s="285">
        <f t="shared" si="3"/>
        <v>5.8</v>
      </c>
      <c r="R13" s="284">
        <f t="shared" si="4"/>
        <v>6</v>
      </c>
      <c r="S13" s="284">
        <f t="shared" si="5"/>
        <v>5</v>
      </c>
      <c r="T13" s="286">
        <f t="shared" si="6"/>
        <v>12.400000000000002</v>
      </c>
      <c r="U13" s="287">
        <f t="shared" si="7"/>
        <v>46.319999999999993</v>
      </c>
      <c r="V13" s="288">
        <f t="shared" si="0"/>
        <v>16</v>
      </c>
      <c r="W13" s="289">
        <f>_xlfn.RANK.EQ(Data!K9,Data!$K$4:$K$28,1)</f>
        <v>21</v>
      </c>
      <c r="X13" s="290">
        <f t="shared" si="8"/>
        <v>5</v>
      </c>
    </row>
    <row r="14" spans="1:24" ht="15">
      <c r="A14" s="291">
        <f>+'List of Actions'!A9</f>
        <v>7</v>
      </c>
      <c r="B14" s="292" t="str">
        <f>+'List of Actions'!B9</f>
        <v>Wz in Existing Res by 2040</v>
      </c>
      <c r="C14" s="278">
        <f>VLOOKUP(B14,'GHG Reduction Scoring Bin'!$B$20:$G$44,6,FALSE)</f>
        <v>9</v>
      </c>
      <c r="D14" s="279">
        <f>VLOOKUP(B14,'Cost-Effectiveness Scoring Bin'!$B$20:$G$45,6,FALSE)</f>
        <v>2</v>
      </c>
      <c r="E14" s="280">
        <f>VLOOKUP(B14,'Equity Scoring Bin'!$B$21:$F$46,5,FALSE)</f>
        <v>10</v>
      </c>
      <c r="F14" s="280">
        <f>VLOOKUP(B14,'Equity Scoring Bin'!$K$21:$O$47,5,FALSE)</f>
        <v>7</v>
      </c>
      <c r="G14" s="280">
        <f>VLOOKUP(B14,'Equity Scoring Bin'!$T$21:$V$47,3,FALSE)</f>
        <v>10</v>
      </c>
      <c r="H14" s="281">
        <f>VLOOKUP(B14,'Health Scoring Bin'!$B$21:$F$46,5,FALSE)</f>
        <v>10</v>
      </c>
      <c r="I14" s="281">
        <f>VLOOKUP(B14,'Health Scoring Bin'!$L$21:$N$47,3,FALSE)</f>
        <v>10</v>
      </c>
      <c r="J14" s="282">
        <f>VLOOKUP(B14,'Jobs-Econ Prosp Scoring Bin'!$B$21:$G$47,6,FALSE)</f>
        <v>10</v>
      </c>
      <c r="K14" s="282">
        <f>VLOOKUP(B14,'Jobs-Econ Prosp Scoring Bin'!$L$21:$Q$47,6,FALSE)</f>
        <v>3</v>
      </c>
      <c r="L14" s="283">
        <f>VLOOKUP(B14,'Risk &amp; Uncertainty Scoring Bin'!$B$13:$D$37,3,FALSE)+VLOOKUP(B14,'Risk &amp; Uncertainty Scoring Bin'!$F$13:$H$37,3,FALSE)</f>
        <v>16</v>
      </c>
      <c r="M14" s="283">
        <f>VLOOKUP(B14,'Risk &amp; Uncertainty Scoring Bin'!$J$13:$L$37,3,FALSE)+VLOOKUP(B14,'Risk &amp; Uncertainty Scoring Bin'!$N$13:$P$37,3,FALSE)</f>
        <v>14</v>
      </c>
      <c r="N14" s="283">
        <f>VLOOKUP(B14,'Risk &amp; Uncertainty Scoring Bin'!$R$13:$T$37,3,FALSE)</f>
        <v>5</v>
      </c>
      <c r="O14" s="284">
        <f t="shared" si="1"/>
        <v>9</v>
      </c>
      <c r="P14" s="284">
        <f t="shared" si="2"/>
        <v>2</v>
      </c>
      <c r="Q14" s="285">
        <f t="shared" si="3"/>
        <v>9.4</v>
      </c>
      <c r="R14" s="284">
        <f t="shared" si="4"/>
        <v>10</v>
      </c>
      <c r="S14" s="284">
        <f t="shared" si="5"/>
        <v>6.5</v>
      </c>
      <c r="T14" s="286">
        <f t="shared" si="6"/>
        <v>13</v>
      </c>
      <c r="U14" s="287">
        <f t="shared" si="7"/>
        <v>82.539999999999992</v>
      </c>
      <c r="V14" s="288">
        <f t="shared" si="0"/>
        <v>1</v>
      </c>
      <c r="W14" s="289">
        <f>_xlfn.RANK.EQ(Data!K10,Data!$K$4:$K$28,1)</f>
        <v>23</v>
      </c>
      <c r="X14" s="290">
        <f t="shared" si="8"/>
        <v>22</v>
      </c>
    </row>
    <row r="15" spans="1:24" ht="15">
      <c r="A15" s="291">
        <f>+'List of Actions'!A10</f>
        <v>8</v>
      </c>
      <c r="B15" s="292" t="str">
        <f>+'List of Actions'!B10</f>
        <v>Wz in Existing Com by 2040</v>
      </c>
      <c r="C15" s="278">
        <f>VLOOKUP(B15,'GHG Reduction Scoring Bin'!$B$20:$G$44,6,FALSE)</f>
        <v>10</v>
      </c>
      <c r="D15" s="279">
        <f>VLOOKUP(B15,'Cost-Effectiveness Scoring Bin'!$B$20:$G$45,6,FALSE)</f>
        <v>2</v>
      </c>
      <c r="E15" s="280">
        <f>VLOOKUP(B15,'Equity Scoring Bin'!$B$21:$F$46,5,FALSE)</f>
        <v>4</v>
      </c>
      <c r="F15" s="280">
        <f>VLOOKUP(B15,'Equity Scoring Bin'!$K$21:$O$47,5,FALSE)</f>
        <v>1</v>
      </c>
      <c r="G15" s="280">
        <f>VLOOKUP(B15,'Equity Scoring Bin'!$T$21:$V$47,3,FALSE)</f>
        <v>8</v>
      </c>
      <c r="H15" s="281">
        <f>VLOOKUP(B15,'Health Scoring Bin'!$B$21:$F$46,5,FALSE)</f>
        <v>4</v>
      </c>
      <c r="I15" s="281">
        <f>VLOOKUP(B15,'Health Scoring Bin'!$L$21:$N$47,3,FALSE)</f>
        <v>8</v>
      </c>
      <c r="J15" s="282">
        <f>VLOOKUP(B15,'Jobs-Econ Prosp Scoring Bin'!$B$21:$G$47,6,FALSE)</f>
        <v>8</v>
      </c>
      <c r="K15" s="282">
        <f>VLOOKUP(B15,'Jobs-Econ Prosp Scoring Bin'!$L$21:$Q$47,6,FALSE)</f>
        <v>2</v>
      </c>
      <c r="L15" s="283">
        <f>VLOOKUP(B15,'Risk &amp; Uncertainty Scoring Bin'!$B$13:$D$37,3,FALSE)+VLOOKUP(B15,'Risk &amp; Uncertainty Scoring Bin'!$F$13:$H$37,3,FALSE)</f>
        <v>16</v>
      </c>
      <c r="M15" s="283">
        <f>VLOOKUP(B15,'Risk &amp; Uncertainty Scoring Bin'!$J$13:$L$37,3,FALSE)+VLOOKUP(B15,'Risk &amp; Uncertainty Scoring Bin'!$N$13:$P$37,3,FALSE)</f>
        <v>14</v>
      </c>
      <c r="N15" s="283">
        <f>VLOOKUP(B15,'Risk &amp; Uncertainty Scoring Bin'!$R$13:$T$37,3,FALSE)</f>
        <v>5</v>
      </c>
      <c r="O15" s="284">
        <f t="shared" si="1"/>
        <v>10</v>
      </c>
      <c r="P15" s="284">
        <f t="shared" si="2"/>
        <v>2</v>
      </c>
      <c r="Q15" s="285">
        <f t="shared" si="3"/>
        <v>5</v>
      </c>
      <c r="R15" s="284">
        <f t="shared" si="4"/>
        <v>6</v>
      </c>
      <c r="S15" s="284">
        <f t="shared" si="5"/>
        <v>5</v>
      </c>
      <c r="T15" s="286">
        <f t="shared" si="6"/>
        <v>13</v>
      </c>
      <c r="U15" s="287">
        <f t="shared" si="7"/>
        <v>70.3</v>
      </c>
      <c r="V15" s="288">
        <f t="shared" si="0"/>
        <v>2</v>
      </c>
      <c r="W15" s="289">
        <f>_xlfn.RANK.EQ(Data!K11,Data!$K$4:$K$28,1)</f>
        <v>22</v>
      </c>
      <c r="X15" s="290">
        <f t="shared" si="8"/>
        <v>20</v>
      </c>
    </row>
    <row r="16" spans="1:24" ht="15">
      <c r="A16" s="291">
        <f>+'List of Actions'!A11</f>
        <v>9</v>
      </c>
      <c r="B16" s="292" t="str">
        <f>+'List of Actions'!B11</f>
        <v>Existing Res buildings 100% HP by 2043</v>
      </c>
      <c r="C16" s="278">
        <f>VLOOKUP(B16,'GHG Reduction Scoring Bin'!$B$20:$G$44,6,FALSE)</f>
        <v>3</v>
      </c>
      <c r="D16" s="279">
        <f>VLOOKUP(B16,'Cost-Effectiveness Scoring Bin'!$B$20:$G$45,6,FALSE)</f>
        <v>1</v>
      </c>
      <c r="E16" s="280">
        <f>VLOOKUP(B16,'Equity Scoring Bin'!$B$21:$F$46,5,FALSE)</f>
        <v>9</v>
      </c>
      <c r="F16" s="280">
        <f>VLOOKUP(B16,'Equity Scoring Bin'!$K$21:$O$47,5,FALSE)</f>
        <v>10</v>
      </c>
      <c r="G16" s="280">
        <f>VLOOKUP(B16,'Equity Scoring Bin'!$T$21:$V$47,3,FALSE)</f>
        <v>10</v>
      </c>
      <c r="H16" s="281">
        <f>VLOOKUP(B16,'Health Scoring Bin'!$B$21:$F$46,5,FALSE)</f>
        <v>9</v>
      </c>
      <c r="I16" s="281">
        <f>VLOOKUP(B16,'Health Scoring Bin'!$L$21:$N$47,3,FALSE)</f>
        <v>10</v>
      </c>
      <c r="J16" s="282">
        <f>VLOOKUP(B16,'Jobs-Econ Prosp Scoring Bin'!$B$21:$G$47,6,FALSE)</f>
        <v>6</v>
      </c>
      <c r="K16" s="282">
        <f>VLOOKUP(B16,'Jobs-Econ Prosp Scoring Bin'!$L$21:$Q$47,6,FALSE)</f>
        <v>10</v>
      </c>
      <c r="L16" s="283">
        <f>VLOOKUP(B16,'Risk &amp; Uncertainty Scoring Bin'!$B$13:$D$37,3,FALSE)+VLOOKUP(B16,'Risk &amp; Uncertainty Scoring Bin'!$F$13:$H$37,3,FALSE)</f>
        <v>18</v>
      </c>
      <c r="M16" s="283">
        <f>VLOOKUP(B16,'Risk &amp; Uncertainty Scoring Bin'!$J$13:$L$37,3,FALSE)+VLOOKUP(B16,'Risk &amp; Uncertainty Scoring Bin'!$N$13:$P$37,3,FALSE)</f>
        <v>10</v>
      </c>
      <c r="N16" s="283">
        <f>VLOOKUP(B16,'Risk &amp; Uncertainty Scoring Bin'!$R$13:$T$37,3,FALSE)</f>
        <v>0</v>
      </c>
      <c r="O16" s="284">
        <f t="shared" si="1"/>
        <v>3</v>
      </c>
      <c r="P16" s="284">
        <f t="shared" si="2"/>
        <v>1</v>
      </c>
      <c r="Q16" s="285">
        <f t="shared" si="3"/>
        <v>9.6</v>
      </c>
      <c r="R16" s="284">
        <f t="shared" si="4"/>
        <v>9.5</v>
      </c>
      <c r="S16" s="284">
        <f t="shared" si="5"/>
        <v>8</v>
      </c>
      <c r="T16" s="286">
        <f t="shared" si="6"/>
        <v>11.2</v>
      </c>
      <c r="U16" s="287">
        <f t="shared" si="7"/>
        <v>63.33</v>
      </c>
      <c r="V16" s="288">
        <f t="shared" si="0"/>
        <v>4</v>
      </c>
      <c r="W16" s="289">
        <f>_xlfn.RANK.EQ(Data!K12,Data!$K$4:$K$28,1)</f>
        <v>25</v>
      </c>
      <c r="X16" s="290">
        <f t="shared" si="8"/>
        <v>21</v>
      </c>
    </row>
    <row r="17" spans="1:24" ht="15">
      <c r="A17" s="291">
        <f>+'List of Actions'!A12</f>
        <v>10</v>
      </c>
      <c r="B17" s="292" t="str">
        <f>+'List of Actions'!B12</f>
        <v>Existing Res buildings 100% HPWH by 2043</v>
      </c>
      <c r="C17" s="278">
        <f>VLOOKUP(B17,'GHG Reduction Scoring Bin'!$B$20:$G$44,6,FALSE)</f>
        <v>4</v>
      </c>
      <c r="D17" s="279">
        <f>VLOOKUP(B17,'Cost-Effectiveness Scoring Bin'!$B$20:$G$45,6,FALSE)</f>
        <v>4</v>
      </c>
      <c r="E17" s="280">
        <f>VLOOKUP(B17,'Equity Scoring Bin'!$B$21:$F$46,5,FALSE)</f>
        <v>2</v>
      </c>
      <c r="F17" s="280">
        <f>VLOOKUP(B17,'Equity Scoring Bin'!$K$21:$O$47,5,FALSE)</f>
        <v>1</v>
      </c>
      <c r="G17" s="280">
        <f>VLOOKUP(B17,'Equity Scoring Bin'!$T$21:$V$47,3,FALSE)</f>
        <v>10</v>
      </c>
      <c r="H17" s="281">
        <f>VLOOKUP(B17,'Health Scoring Bin'!$B$21:$F$46,5,FALSE)</f>
        <v>2</v>
      </c>
      <c r="I17" s="281">
        <f>VLOOKUP(B17,'Health Scoring Bin'!$L$21:$N$47,3,FALSE)</f>
        <v>10</v>
      </c>
      <c r="J17" s="282">
        <f>VLOOKUP(B17,'Jobs-Econ Prosp Scoring Bin'!$B$21:$G$47,6,FALSE)</f>
        <v>4</v>
      </c>
      <c r="K17" s="282">
        <f>VLOOKUP(B17,'Jobs-Econ Prosp Scoring Bin'!$L$21:$Q$47,6,FALSE)</f>
        <v>3</v>
      </c>
      <c r="L17" s="283">
        <f>VLOOKUP(B17,'Risk &amp; Uncertainty Scoring Bin'!$B$13:$D$37,3,FALSE)+VLOOKUP(B17,'Risk &amp; Uncertainty Scoring Bin'!$F$13:$H$37,3,FALSE)</f>
        <v>18</v>
      </c>
      <c r="M17" s="283">
        <f>VLOOKUP(B17,'Risk &amp; Uncertainty Scoring Bin'!$J$13:$L$37,3,FALSE)+VLOOKUP(B17,'Risk &amp; Uncertainty Scoring Bin'!$N$13:$P$37,3,FALSE)</f>
        <v>16</v>
      </c>
      <c r="N17" s="283">
        <f>VLOOKUP(B17,'Risk &amp; Uncertainty Scoring Bin'!$R$13:$T$37,3,FALSE)</f>
        <v>0</v>
      </c>
      <c r="O17" s="284">
        <f t="shared" si="1"/>
        <v>4</v>
      </c>
      <c r="P17" s="284">
        <f t="shared" si="2"/>
        <v>4</v>
      </c>
      <c r="Q17" s="285">
        <f t="shared" si="3"/>
        <v>5</v>
      </c>
      <c r="R17" s="284">
        <f t="shared" si="4"/>
        <v>6</v>
      </c>
      <c r="S17" s="284">
        <f t="shared" si="5"/>
        <v>3.5</v>
      </c>
      <c r="T17" s="286">
        <f t="shared" si="6"/>
        <v>13.600000000000001</v>
      </c>
      <c r="U17" s="287">
        <f t="shared" si="7"/>
        <v>54.459999999999994</v>
      </c>
      <c r="V17" s="288">
        <f t="shared" si="0"/>
        <v>10</v>
      </c>
      <c r="W17" s="289">
        <f>_xlfn.RANK.EQ(Data!K13,Data!$K$4:$K$28,1)</f>
        <v>12</v>
      </c>
      <c r="X17" s="290">
        <f t="shared" si="8"/>
        <v>2</v>
      </c>
    </row>
    <row r="18" spans="1:24" ht="15">
      <c r="A18" s="291">
        <f>+'List of Actions'!A13</f>
        <v>11</v>
      </c>
      <c r="B18" s="292" t="str">
        <f>+'List of Actions'!B13</f>
        <v>Existing Com buildings 100% HP by 2043</v>
      </c>
      <c r="C18" s="278">
        <f>VLOOKUP(B18,'GHG Reduction Scoring Bin'!$B$20:$G$44,6,FALSE)</f>
        <v>3</v>
      </c>
      <c r="D18" s="279">
        <f>VLOOKUP(B18,'Cost-Effectiveness Scoring Bin'!$B$20:$G$45,6,FALSE)</f>
        <v>4</v>
      </c>
      <c r="E18" s="280">
        <f>VLOOKUP(B18,'Equity Scoring Bin'!$B$21:$F$46,5,FALSE)</f>
        <v>3</v>
      </c>
      <c r="F18" s="280">
        <f>VLOOKUP(B18,'Equity Scoring Bin'!$K$21:$O$47,5,FALSE)</f>
        <v>1</v>
      </c>
      <c r="G18" s="280">
        <f>VLOOKUP(B18,'Equity Scoring Bin'!$T$21:$V$47,3,FALSE)</f>
        <v>8</v>
      </c>
      <c r="H18" s="281">
        <f>VLOOKUP(B18,'Health Scoring Bin'!$B$21:$F$46,5,FALSE)</f>
        <v>3</v>
      </c>
      <c r="I18" s="281">
        <f>VLOOKUP(B18,'Health Scoring Bin'!$L$21:$N$47,3,FALSE)</f>
        <v>8</v>
      </c>
      <c r="J18" s="282">
        <f>VLOOKUP(B18,'Jobs-Econ Prosp Scoring Bin'!$B$21:$G$47,6,FALSE)</f>
        <v>4</v>
      </c>
      <c r="K18" s="282">
        <f>VLOOKUP(B18,'Jobs-Econ Prosp Scoring Bin'!$L$21:$Q$47,6,FALSE)</f>
        <v>4</v>
      </c>
      <c r="L18" s="283">
        <f>VLOOKUP(B18,'Risk &amp; Uncertainty Scoring Bin'!$B$13:$D$37,3,FALSE)+VLOOKUP(B18,'Risk &amp; Uncertainty Scoring Bin'!$F$13:$H$37,3,FALSE)</f>
        <v>18</v>
      </c>
      <c r="M18" s="283">
        <f>VLOOKUP(B18,'Risk &amp; Uncertainty Scoring Bin'!$J$13:$L$37,3,FALSE)+VLOOKUP(B18,'Risk &amp; Uncertainty Scoring Bin'!$N$13:$P$37,3,FALSE)</f>
        <v>12</v>
      </c>
      <c r="N18" s="283">
        <f>VLOOKUP(B18,'Risk &amp; Uncertainty Scoring Bin'!$R$13:$T$37,3,FALSE)</f>
        <v>0</v>
      </c>
      <c r="O18" s="284">
        <f t="shared" si="1"/>
        <v>3</v>
      </c>
      <c r="P18" s="284">
        <f t="shared" si="2"/>
        <v>4</v>
      </c>
      <c r="Q18" s="285">
        <f t="shared" si="3"/>
        <v>4.6000000000000005</v>
      </c>
      <c r="R18" s="284">
        <f t="shared" si="4"/>
        <v>5.5</v>
      </c>
      <c r="S18" s="284">
        <f t="shared" si="5"/>
        <v>4</v>
      </c>
      <c r="T18" s="286">
        <f t="shared" si="6"/>
        <v>12</v>
      </c>
      <c r="U18" s="287">
        <f t="shared" si="7"/>
        <v>49.11</v>
      </c>
      <c r="V18" s="288">
        <f t="shared" si="0"/>
        <v>13</v>
      </c>
      <c r="W18" s="289">
        <f>_xlfn.RANK.EQ(Data!K14,Data!$K$4:$K$28,1)</f>
        <v>13</v>
      </c>
      <c r="X18" s="290">
        <f t="shared" si="8"/>
        <v>0</v>
      </c>
    </row>
    <row r="19" spans="1:24" ht="15">
      <c r="A19" s="291">
        <f>+'List of Actions'!A14</f>
        <v>12</v>
      </c>
      <c r="B19" s="292" t="str">
        <f>+'List of Actions'!B14</f>
        <v>Existing Com buildings 100% HPWH by 2043</v>
      </c>
      <c r="C19" s="278">
        <f>VLOOKUP(B19,'GHG Reduction Scoring Bin'!$B$20:$G$44,6,FALSE)</f>
        <v>1</v>
      </c>
      <c r="D19" s="279">
        <f>VLOOKUP(B19,'Cost-Effectiveness Scoring Bin'!$B$20:$G$45,6,FALSE)</f>
        <v>1</v>
      </c>
      <c r="E19" s="280">
        <f>VLOOKUP(B19,'Equity Scoring Bin'!$B$21:$F$46,5,FALSE)</f>
        <v>1</v>
      </c>
      <c r="F19" s="280">
        <f>VLOOKUP(B19,'Equity Scoring Bin'!$K$21:$O$47,5,FALSE)</f>
        <v>1</v>
      </c>
      <c r="G19" s="280">
        <f>VLOOKUP(B19,'Equity Scoring Bin'!$T$21:$V$47,3,FALSE)</f>
        <v>8</v>
      </c>
      <c r="H19" s="281">
        <f>VLOOKUP(B19,'Health Scoring Bin'!$B$21:$F$46,5,FALSE)</f>
        <v>1</v>
      </c>
      <c r="I19" s="281">
        <f>VLOOKUP(B19,'Health Scoring Bin'!$L$21:$N$47,3,FALSE)</f>
        <v>8</v>
      </c>
      <c r="J19" s="282">
        <f>VLOOKUP(B19,'Jobs-Econ Prosp Scoring Bin'!$B$21:$G$47,6,FALSE)</f>
        <v>4</v>
      </c>
      <c r="K19" s="282">
        <f>VLOOKUP(B19,'Jobs-Econ Prosp Scoring Bin'!$L$21:$Q$47,6,FALSE)</f>
        <v>8</v>
      </c>
      <c r="L19" s="283">
        <f>VLOOKUP(B19,'Risk &amp; Uncertainty Scoring Bin'!$B$13:$D$37,3,FALSE)+VLOOKUP(B19,'Risk &amp; Uncertainty Scoring Bin'!$F$13:$H$37,3,FALSE)</f>
        <v>18</v>
      </c>
      <c r="M19" s="283">
        <f>VLOOKUP(B19,'Risk &amp; Uncertainty Scoring Bin'!$J$13:$L$37,3,FALSE)+VLOOKUP(B19,'Risk &amp; Uncertainty Scoring Bin'!$N$13:$P$37,3,FALSE)</f>
        <v>10</v>
      </c>
      <c r="N19" s="283">
        <f>VLOOKUP(B19,'Risk &amp; Uncertainty Scoring Bin'!$R$13:$T$37,3,FALSE)</f>
        <v>0</v>
      </c>
      <c r="O19" s="284">
        <f t="shared" si="1"/>
        <v>1</v>
      </c>
      <c r="P19" s="284">
        <f t="shared" si="2"/>
        <v>1</v>
      </c>
      <c r="Q19" s="285">
        <f t="shared" si="3"/>
        <v>3.8000000000000003</v>
      </c>
      <c r="R19" s="284">
        <f t="shared" si="4"/>
        <v>4.5</v>
      </c>
      <c r="S19" s="284">
        <f t="shared" si="5"/>
        <v>6</v>
      </c>
      <c r="T19" s="286">
        <f t="shared" si="6"/>
        <v>11.2</v>
      </c>
      <c r="U19" s="287">
        <f t="shared" si="7"/>
        <v>37.950000000000003</v>
      </c>
      <c r="V19" s="288">
        <f t="shared" si="0"/>
        <v>23</v>
      </c>
      <c r="W19" s="289">
        <f>_xlfn.RANK.EQ(Data!K15,Data!$K$4:$K$28,1)</f>
        <v>24</v>
      </c>
      <c r="X19" s="290">
        <f t="shared" si="8"/>
        <v>1</v>
      </c>
    </row>
    <row r="20" spans="1:24" ht="15">
      <c r="A20" s="291">
        <f>+'List of Actions'!A15</f>
        <v>13</v>
      </c>
      <c r="B20" s="292" t="str">
        <f>+'List of Actions'!B17</f>
        <v>Non-CPP Ind EE 50% by 2050</v>
      </c>
      <c r="C20" s="278">
        <f>VLOOKUP(B20,'GHG Reduction Scoring Bin'!$B$20:$G$44,6,FALSE)</f>
        <v>6</v>
      </c>
      <c r="D20" s="279">
        <f>VLOOKUP(B20,'Cost-Effectiveness Scoring Bin'!$B$20:$G$45,6,FALSE)</f>
        <v>4</v>
      </c>
      <c r="E20" s="280">
        <f>VLOOKUP(B20,'Equity Scoring Bin'!$B$21:$F$46,5,FALSE)</f>
        <v>6</v>
      </c>
      <c r="F20" s="280">
        <f>VLOOKUP(B20,'Equity Scoring Bin'!$K$21:$O$47,5,FALSE)</f>
        <v>1</v>
      </c>
      <c r="G20" s="280">
        <f>VLOOKUP(B20,'Equity Scoring Bin'!$T$21:$V$47,3,FALSE)</f>
        <v>0</v>
      </c>
      <c r="H20" s="281">
        <f>VLOOKUP(B20,'Health Scoring Bin'!$B$21:$F$46,5,FALSE)</f>
        <v>6</v>
      </c>
      <c r="I20" s="281">
        <f>VLOOKUP(B20,'Health Scoring Bin'!$L$21:$N$47,3,FALSE)</f>
        <v>0</v>
      </c>
      <c r="J20" s="282">
        <f>VLOOKUP(B20,'Jobs-Econ Prosp Scoring Bin'!$B$21:$G$47,6,FALSE)</f>
        <v>5</v>
      </c>
      <c r="K20" s="282">
        <f>VLOOKUP(B20,'Jobs-Econ Prosp Scoring Bin'!$L$21:$Q$47,6,FALSE)</f>
        <v>3</v>
      </c>
      <c r="L20" s="283">
        <f>VLOOKUP(B20,'Risk &amp; Uncertainty Scoring Bin'!$B$13:$D$37,3,FALSE)+VLOOKUP(B20,'Risk &amp; Uncertainty Scoring Bin'!$F$13:$H$37,3,FALSE)</f>
        <v>16</v>
      </c>
      <c r="M20" s="283">
        <f>VLOOKUP(B20,'Risk &amp; Uncertainty Scoring Bin'!$J$13:$L$37,3,FALSE)+VLOOKUP(B20,'Risk &amp; Uncertainty Scoring Bin'!$N$13:$P$37,3,FALSE)</f>
        <v>14</v>
      </c>
      <c r="N20" s="283">
        <f>VLOOKUP(B20,'Risk &amp; Uncertainty Scoring Bin'!$R$13:$T$37,3,FALSE)</f>
        <v>0</v>
      </c>
      <c r="O20" s="284">
        <f t="shared" si="1"/>
        <v>6</v>
      </c>
      <c r="P20" s="284">
        <f t="shared" si="2"/>
        <v>4</v>
      </c>
      <c r="Q20" s="285">
        <f t="shared" si="3"/>
        <v>2.6000000000000005</v>
      </c>
      <c r="R20" s="284">
        <f t="shared" si="4"/>
        <v>3</v>
      </c>
      <c r="S20" s="284">
        <f t="shared" si="5"/>
        <v>4</v>
      </c>
      <c r="T20" s="286">
        <f t="shared" si="6"/>
        <v>12</v>
      </c>
      <c r="U20" s="287">
        <f t="shared" si="7"/>
        <v>50.859999999999992</v>
      </c>
      <c r="V20" s="288">
        <f t="shared" si="0"/>
        <v>12</v>
      </c>
      <c r="W20" s="289">
        <f>_xlfn.RANK.EQ(Data!K16,Data!$K$4:$K$28,1)</f>
        <v>10</v>
      </c>
      <c r="X20" s="290">
        <f t="shared" si="8"/>
        <v>-2</v>
      </c>
    </row>
    <row r="21" spans="1:24" ht="15">
      <c r="A21" s="291">
        <f>+'List of Actions'!A16</f>
        <v>14</v>
      </c>
      <c r="B21" s="292" t="str">
        <f>+'List of Actions'!B18</f>
        <v>MD/HD Zero Emission Plan</v>
      </c>
      <c r="C21" s="278">
        <f>VLOOKUP(B21,'GHG Reduction Scoring Bin'!$B$20:$G$44,6,FALSE)</f>
        <v>6</v>
      </c>
      <c r="D21" s="279">
        <f>VLOOKUP(B21,'Cost-Effectiveness Scoring Bin'!$B$20:$G$45,6,FALSE)</f>
        <v>5</v>
      </c>
      <c r="E21" s="280">
        <f>VLOOKUP(B21,'Equity Scoring Bin'!$B$21:$F$46,5,FALSE)</f>
        <v>2</v>
      </c>
      <c r="F21" s="280">
        <f>VLOOKUP(B21,'Equity Scoring Bin'!$K$21:$O$47,5,FALSE)</f>
        <v>1</v>
      </c>
      <c r="G21" s="280">
        <f>VLOOKUP(B21,'Equity Scoring Bin'!$T$21:$V$47,3,FALSE)</f>
        <v>0</v>
      </c>
      <c r="H21" s="281">
        <f>VLOOKUP(B21,'Health Scoring Bin'!$B$21:$F$46,5,FALSE)</f>
        <v>2</v>
      </c>
      <c r="I21" s="281">
        <f>VLOOKUP(B21,'Health Scoring Bin'!$L$21:$N$47,3,FALSE)</f>
        <v>0</v>
      </c>
      <c r="J21" s="282">
        <f>VLOOKUP(B21,'Jobs-Econ Prosp Scoring Bin'!$B$21:$G$47,6,FALSE)</f>
        <v>1</v>
      </c>
      <c r="K21" s="282">
        <f>VLOOKUP(B21,'Jobs-Econ Prosp Scoring Bin'!$L$21:$Q$47,6,FALSE)</f>
        <v>1</v>
      </c>
      <c r="L21" s="283">
        <f>VLOOKUP(B21,'Risk &amp; Uncertainty Scoring Bin'!$B$13:$D$37,3,FALSE)+VLOOKUP(B21,'Risk &amp; Uncertainty Scoring Bin'!$F$13:$H$37,3,FALSE)</f>
        <v>12</v>
      </c>
      <c r="M21" s="283">
        <f>VLOOKUP(B21,'Risk &amp; Uncertainty Scoring Bin'!$J$13:$L$37,3,FALSE)+VLOOKUP(B21,'Risk &amp; Uncertainty Scoring Bin'!$N$13:$P$37,3,FALSE)</f>
        <v>18</v>
      </c>
      <c r="N21" s="283">
        <f>VLOOKUP(B21,'Risk &amp; Uncertainty Scoring Bin'!$R$13:$T$37,3,FALSE)</f>
        <v>0</v>
      </c>
      <c r="O21" s="284">
        <f t="shared" si="1"/>
        <v>6</v>
      </c>
      <c r="P21" s="284">
        <f t="shared" si="2"/>
        <v>5</v>
      </c>
      <c r="Q21" s="285">
        <f t="shared" si="3"/>
        <v>1</v>
      </c>
      <c r="R21" s="284">
        <f t="shared" si="4"/>
        <v>1</v>
      </c>
      <c r="S21" s="284">
        <f t="shared" si="5"/>
        <v>1</v>
      </c>
      <c r="T21" s="286">
        <f t="shared" si="6"/>
        <v>12</v>
      </c>
      <c r="U21" s="287">
        <f t="shared" si="7"/>
        <v>42.599999999999994</v>
      </c>
      <c r="V21" s="288">
        <f t="shared" si="0"/>
        <v>20</v>
      </c>
      <c r="W21" s="289">
        <f>_xlfn.RANK.EQ(Data!K17,Data!$K$4:$K$28,1)</f>
        <v>5</v>
      </c>
      <c r="X21" s="290">
        <f t="shared" si="8"/>
        <v>-15</v>
      </c>
    </row>
    <row r="22" spans="1:24" ht="15">
      <c r="A22" s="291">
        <f>+'List of Actions'!A17</f>
        <v>15</v>
      </c>
      <c r="B22" s="292" t="str">
        <f>+'List of Actions'!B19</f>
        <v>10% Mode Shift MD to LD</v>
      </c>
      <c r="C22" s="278">
        <f>VLOOKUP(B22,'GHG Reduction Scoring Bin'!$B$20:$G$44,6,FALSE)</f>
        <v>1</v>
      </c>
      <c r="D22" s="279">
        <f>VLOOKUP(B22,'Cost-Effectiveness Scoring Bin'!$B$20:$G$45,6,FALSE)</f>
        <v>5</v>
      </c>
      <c r="E22" s="280">
        <f>VLOOKUP(B22,'Equity Scoring Bin'!$B$21:$F$46,5,FALSE)</f>
        <v>1</v>
      </c>
      <c r="F22" s="280">
        <f>VLOOKUP(B22,'Equity Scoring Bin'!$K$21:$O$47,5,FALSE)</f>
        <v>1</v>
      </c>
      <c r="G22" s="280">
        <f>VLOOKUP(B22,'Equity Scoring Bin'!$T$21:$V$47,3,FALSE)</f>
        <v>4</v>
      </c>
      <c r="H22" s="281">
        <f>VLOOKUP(B22,'Health Scoring Bin'!$B$21:$F$46,5,FALSE)</f>
        <v>1</v>
      </c>
      <c r="I22" s="281">
        <f>VLOOKUP(B22,'Health Scoring Bin'!$L$21:$N$47,3,FALSE)</f>
        <v>4</v>
      </c>
      <c r="J22" s="282">
        <f>VLOOKUP(B22,'Jobs-Econ Prosp Scoring Bin'!$B$21:$G$47,6,FALSE)</f>
        <v>2</v>
      </c>
      <c r="K22" s="282">
        <f>VLOOKUP(B22,'Jobs-Econ Prosp Scoring Bin'!$L$21:$Q$47,6,FALSE)</f>
        <v>3</v>
      </c>
      <c r="L22" s="283">
        <f>VLOOKUP(B22,'Risk &amp; Uncertainty Scoring Bin'!$B$13:$D$37,3,FALSE)+VLOOKUP(B22,'Risk &amp; Uncertainty Scoring Bin'!$F$13:$H$37,3,FALSE)</f>
        <v>16</v>
      </c>
      <c r="M22" s="283">
        <f>VLOOKUP(B22,'Risk &amp; Uncertainty Scoring Bin'!$J$13:$L$37,3,FALSE)+VLOOKUP(B22,'Risk &amp; Uncertainty Scoring Bin'!$N$13:$P$37,3,FALSE)</f>
        <v>10</v>
      </c>
      <c r="N22" s="283">
        <f>VLOOKUP(B22,'Risk &amp; Uncertainty Scoring Bin'!$R$13:$T$37,3,FALSE)</f>
        <v>5</v>
      </c>
      <c r="O22" s="284">
        <f t="shared" si="1"/>
        <v>1</v>
      </c>
      <c r="P22" s="284">
        <f t="shared" si="2"/>
        <v>5</v>
      </c>
      <c r="Q22" s="285">
        <f t="shared" si="3"/>
        <v>2.2000000000000002</v>
      </c>
      <c r="R22" s="284">
        <f t="shared" si="4"/>
        <v>2.5</v>
      </c>
      <c r="S22" s="284">
        <f t="shared" si="5"/>
        <v>2.5</v>
      </c>
      <c r="T22" s="286">
        <f t="shared" si="6"/>
        <v>11.4</v>
      </c>
      <c r="U22" s="287">
        <f t="shared" si="7"/>
        <v>33.71</v>
      </c>
      <c r="V22" s="288">
        <f t="shared" si="0"/>
        <v>25</v>
      </c>
      <c r="W22" s="289">
        <f>_xlfn.RANK.EQ(Data!K18,Data!$K$4:$K$28,1)</f>
        <v>4</v>
      </c>
      <c r="X22" s="290">
        <f t="shared" si="8"/>
        <v>-21</v>
      </c>
    </row>
    <row r="23" spans="1:24" ht="15">
      <c r="A23" s="291">
        <f>+'List of Actions'!A18</f>
        <v>16</v>
      </c>
      <c r="B23" s="292" t="str">
        <f>+'List of Actions'!B20</f>
        <v>10% Micro-mobility by 2035</v>
      </c>
      <c r="C23" s="278">
        <f>VLOOKUP(B23,'GHG Reduction Scoring Bin'!$B$20:$G$44,6,FALSE)</f>
        <v>3</v>
      </c>
      <c r="D23" s="279">
        <f>VLOOKUP(B23,'Cost-Effectiveness Scoring Bin'!$B$20:$G$45,6,FALSE)</f>
        <v>5</v>
      </c>
      <c r="E23" s="280">
        <f>VLOOKUP(B23,'Equity Scoring Bin'!$B$21:$F$46,5,FALSE)</f>
        <v>1</v>
      </c>
      <c r="F23" s="280">
        <f>VLOOKUP(B23,'Equity Scoring Bin'!$K$21:$O$47,5,FALSE)</f>
        <v>1</v>
      </c>
      <c r="G23" s="280">
        <f>VLOOKUP(B23,'Equity Scoring Bin'!$T$21:$V$47,3,FALSE)</f>
        <v>10</v>
      </c>
      <c r="H23" s="281">
        <f>VLOOKUP(B23,'Health Scoring Bin'!$B$21:$F$46,5,FALSE)</f>
        <v>1</v>
      </c>
      <c r="I23" s="281">
        <f>VLOOKUP(B23,'Health Scoring Bin'!$L$21:$N$47,3,FALSE)</f>
        <v>10</v>
      </c>
      <c r="J23" s="282">
        <f>VLOOKUP(B23,'Jobs-Econ Prosp Scoring Bin'!$B$21:$G$47,6,FALSE)</f>
        <v>4</v>
      </c>
      <c r="K23" s="282">
        <f>VLOOKUP(B23,'Jobs-Econ Prosp Scoring Bin'!$L$21:$Q$47,6,FALSE)</f>
        <v>3</v>
      </c>
      <c r="L23" s="283">
        <f>VLOOKUP(B23,'Risk &amp; Uncertainty Scoring Bin'!$B$13:$D$37,3,FALSE)+VLOOKUP(B23,'Risk &amp; Uncertainty Scoring Bin'!$F$13:$H$37,3,FALSE)</f>
        <v>20</v>
      </c>
      <c r="M23" s="283">
        <f>VLOOKUP(B23,'Risk &amp; Uncertainty Scoring Bin'!$J$13:$L$37,3,FALSE)+VLOOKUP(B23,'Risk &amp; Uncertainty Scoring Bin'!$N$13:$P$37,3,FALSE)</f>
        <v>12</v>
      </c>
      <c r="N23" s="283">
        <f>VLOOKUP(B23,'Risk &amp; Uncertainty Scoring Bin'!$R$13:$T$37,3,FALSE)</f>
        <v>5</v>
      </c>
      <c r="O23" s="284">
        <f t="shared" si="1"/>
        <v>3</v>
      </c>
      <c r="P23" s="284">
        <f t="shared" si="2"/>
        <v>5</v>
      </c>
      <c r="Q23" s="285">
        <f t="shared" si="3"/>
        <v>4.5999999999999996</v>
      </c>
      <c r="R23" s="284">
        <f t="shared" si="4"/>
        <v>5.5</v>
      </c>
      <c r="S23" s="284">
        <f t="shared" si="5"/>
        <v>3.5</v>
      </c>
      <c r="T23" s="286">
        <f t="shared" si="6"/>
        <v>13.8</v>
      </c>
      <c r="U23" s="287">
        <f t="shared" si="7"/>
        <v>51.89</v>
      </c>
      <c r="V23" s="288">
        <f t="shared" si="0"/>
        <v>11</v>
      </c>
      <c r="W23" s="289">
        <f>_xlfn.RANK.EQ(Data!K19,Data!$K$4:$K$28,1)</f>
        <v>6</v>
      </c>
      <c r="X23" s="290">
        <f t="shared" si="8"/>
        <v>-5</v>
      </c>
    </row>
    <row r="24" spans="1:24" ht="15">
      <c r="A24" s="291">
        <f>+'List of Actions'!A19</f>
        <v>17</v>
      </c>
      <c r="B24" s="292" t="str">
        <f>+'List of Actions'!B21</f>
        <v>Increase Amtrak Ridership</v>
      </c>
      <c r="C24" s="278">
        <f>VLOOKUP(B24,'GHG Reduction Scoring Bin'!$B$20:$G$44,6,FALSE)</f>
        <v>4</v>
      </c>
      <c r="D24" s="279">
        <f>VLOOKUP(B24,'Cost-Effectiveness Scoring Bin'!$B$20:$G$45,6,FALSE)</f>
        <v>5</v>
      </c>
      <c r="E24" s="280">
        <f>VLOOKUP(B24,'Equity Scoring Bin'!$B$21:$F$46,5,FALSE)</f>
        <v>1</v>
      </c>
      <c r="F24" s="280">
        <f>VLOOKUP(B24,'Equity Scoring Bin'!$K$21:$O$47,5,FALSE)</f>
        <v>1</v>
      </c>
      <c r="G24" s="280">
        <f>VLOOKUP(B24,'Equity Scoring Bin'!$T$21:$V$47,3,FALSE)</f>
        <v>4</v>
      </c>
      <c r="H24" s="281">
        <f>VLOOKUP(B24,'Health Scoring Bin'!$B$21:$F$46,5,FALSE)</f>
        <v>1</v>
      </c>
      <c r="I24" s="281">
        <f>VLOOKUP(B24,'Health Scoring Bin'!$L$21:$N$47,3,FALSE)</f>
        <v>4</v>
      </c>
      <c r="J24" s="282">
        <f>VLOOKUP(B24,'Jobs-Econ Prosp Scoring Bin'!$B$21:$G$47,6,FALSE)</f>
        <v>4</v>
      </c>
      <c r="K24" s="282">
        <f>VLOOKUP(B24,'Jobs-Econ Prosp Scoring Bin'!$L$21:$Q$47,6,FALSE)</f>
        <v>3</v>
      </c>
      <c r="L24" s="283">
        <f>VLOOKUP(B24,'Risk &amp; Uncertainty Scoring Bin'!$B$13:$D$37,3,FALSE)+VLOOKUP(B24,'Risk &amp; Uncertainty Scoring Bin'!$F$13:$H$37,3,FALSE)</f>
        <v>16</v>
      </c>
      <c r="M24" s="283">
        <f>VLOOKUP(B24,'Risk &amp; Uncertainty Scoring Bin'!$J$13:$L$37,3,FALSE)+VLOOKUP(B24,'Risk &amp; Uncertainty Scoring Bin'!$N$13:$P$37,3,FALSE)</f>
        <v>12</v>
      </c>
      <c r="N24" s="283">
        <f>VLOOKUP(B24,'Risk &amp; Uncertainty Scoring Bin'!$R$13:$T$37,3,FALSE)</f>
        <v>5</v>
      </c>
      <c r="O24" s="284">
        <f t="shared" si="1"/>
        <v>4</v>
      </c>
      <c r="P24" s="284">
        <f t="shared" si="2"/>
        <v>5</v>
      </c>
      <c r="Q24" s="285">
        <f t="shared" si="3"/>
        <v>2.2000000000000002</v>
      </c>
      <c r="R24" s="284">
        <f t="shared" si="4"/>
        <v>2.5</v>
      </c>
      <c r="S24" s="284">
        <f t="shared" si="5"/>
        <v>3.5</v>
      </c>
      <c r="T24" s="286">
        <f t="shared" si="6"/>
        <v>12.200000000000001</v>
      </c>
      <c r="U24" s="287">
        <f t="shared" si="7"/>
        <v>44.690000000000005</v>
      </c>
      <c r="V24" s="288">
        <f t="shared" si="0"/>
        <v>17</v>
      </c>
      <c r="W24" s="289">
        <f>_xlfn.RANK.EQ(Data!K20,Data!$K$4:$K$28,1)</f>
        <v>7</v>
      </c>
      <c r="X24" s="290">
        <f t="shared" si="8"/>
        <v>-10</v>
      </c>
    </row>
    <row r="25" spans="1:24" ht="15">
      <c r="A25" s="291">
        <f>+'List of Actions'!A20</f>
        <v>18</v>
      </c>
      <c r="B25" s="292" t="str">
        <f>+'List of Actions'!B22</f>
        <v>Carshare Increases by 2035</v>
      </c>
      <c r="C25" s="278">
        <f>VLOOKUP(B25,'GHG Reduction Scoring Bin'!$B$20:$G$44,6,FALSE)</f>
        <v>4</v>
      </c>
      <c r="D25" s="279">
        <f>VLOOKUP(B25,'Cost-Effectiveness Scoring Bin'!$B$20:$G$45,6,FALSE)</f>
        <v>5</v>
      </c>
      <c r="E25" s="280">
        <f>VLOOKUP(B25,'Equity Scoring Bin'!$B$21:$F$46,5,FALSE)</f>
        <v>1</v>
      </c>
      <c r="F25" s="280">
        <f>VLOOKUP(B25,'Equity Scoring Bin'!$K$21:$O$47,5,FALSE)</f>
        <v>1</v>
      </c>
      <c r="G25" s="280">
        <f>VLOOKUP(B25,'Equity Scoring Bin'!$T$21:$V$47,3,FALSE)</f>
        <v>2</v>
      </c>
      <c r="H25" s="281">
        <f>VLOOKUP(B25,'Health Scoring Bin'!$B$21:$F$46,5,FALSE)</f>
        <v>1</v>
      </c>
      <c r="I25" s="281">
        <f>VLOOKUP(B25,'Health Scoring Bin'!$L$21:$N$47,3,FALSE)</f>
        <v>2</v>
      </c>
      <c r="J25" s="282">
        <f>VLOOKUP(B25,'Jobs-Econ Prosp Scoring Bin'!$B$21:$G$47,6,FALSE)</f>
        <v>4</v>
      </c>
      <c r="K25" s="282">
        <f>VLOOKUP(B25,'Jobs-Econ Prosp Scoring Bin'!$L$21:$Q$47,6,FALSE)</f>
        <v>3</v>
      </c>
      <c r="L25" s="283">
        <f>VLOOKUP(B25,'Risk &amp; Uncertainty Scoring Bin'!$B$13:$D$37,3,FALSE)+VLOOKUP(B25,'Risk &amp; Uncertainty Scoring Bin'!$F$13:$H$37,3,FALSE)</f>
        <v>18</v>
      </c>
      <c r="M25" s="283">
        <f>VLOOKUP(B25,'Risk &amp; Uncertainty Scoring Bin'!$J$13:$L$37,3,FALSE)+VLOOKUP(B25,'Risk &amp; Uncertainty Scoring Bin'!$N$13:$P$37,3,FALSE)</f>
        <v>14</v>
      </c>
      <c r="N25" s="283">
        <f>VLOOKUP(B25,'Risk &amp; Uncertainty Scoring Bin'!$R$13:$T$37,3,FALSE)</f>
        <v>5</v>
      </c>
      <c r="O25" s="284">
        <f t="shared" si="1"/>
        <v>4</v>
      </c>
      <c r="P25" s="284">
        <f t="shared" si="2"/>
        <v>5</v>
      </c>
      <c r="Q25" s="285">
        <f t="shared" si="3"/>
        <v>1.4000000000000001</v>
      </c>
      <c r="R25" s="284">
        <f t="shared" si="4"/>
        <v>1.5</v>
      </c>
      <c r="S25" s="284">
        <f t="shared" si="5"/>
        <v>3.5</v>
      </c>
      <c r="T25" s="286">
        <f t="shared" si="6"/>
        <v>13.8</v>
      </c>
      <c r="U25" s="287">
        <f t="shared" si="7"/>
        <v>43.67</v>
      </c>
      <c r="V25" s="288">
        <f t="shared" si="0"/>
        <v>19</v>
      </c>
      <c r="W25" s="289">
        <f>_xlfn.RANK.EQ(Data!K21,Data!$K$4:$K$28,1)</f>
        <v>8</v>
      </c>
      <c r="X25" s="290">
        <f t="shared" si="8"/>
        <v>-11</v>
      </c>
    </row>
    <row r="26" spans="1:24" ht="15">
      <c r="A26" s="291">
        <f>+'List of Actions'!A21</f>
        <v>19</v>
      </c>
      <c r="B26" s="292" t="str">
        <f>+'List of Actions'!B23</f>
        <v>Congestion Pricing</v>
      </c>
      <c r="C26" s="278">
        <f>VLOOKUP(B26,'GHG Reduction Scoring Bin'!$B$20:$G$44,6,FALSE)</f>
        <v>2</v>
      </c>
      <c r="D26" s="279">
        <f>VLOOKUP(B26,'Cost-Effectiveness Scoring Bin'!$B$20:$G$45,6,FALSE)</f>
        <v>5</v>
      </c>
      <c r="E26" s="280">
        <f>VLOOKUP(B26,'Equity Scoring Bin'!$B$21:$F$46,5,FALSE)</f>
        <v>1</v>
      </c>
      <c r="F26" s="280">
        <f>VLOOKUP(B26,'Equity Scoring Bin'!$K$21:$O$47,5,FALSE)</f>
        <v>1</v>
      </c>
      <c r="G26" s="280">
        <f>VLOOKUP(B26,'Equity Scoring Bin'!$T$21:$V$47,3,FALSE)</f>
        <v>10</v>
      </c>
      <c r="H26" s="281">
        <f>VLOOKUP(B26,'Health Scoring Bin'!$B$21:$F$46,5,FALSE)</f>
        <v>1</v>
      </c>
      <c r="I26" s="281">
        <f>VLOOKUP(B26,'Health Scoring Bin'!$L$21:$N$47,3,FALSE)</f>
        <v>10</v>
      </c>
      <c r="J26" s="282">
        <f>VLOOKUP(B26,'Jobs-Econ Prosp Scoring Bin'!$B$21:$G$47,6,FALSE)</f>
        <v>4</v>
      </c>
      <c r="K26" s="282">
        <f>VLOOKUP(B26,'Jobs-Econ Prosp Scoring Bin'!$L$21:$Q$47,6,FALSE)</f>
        <v>4</v>
      </c>
      <c r="L26" s="283">
        <f>VLOOKUP(B26,'Risk &amp; Uncertainty Scoring Bin'!$B$13:$D$37,3,FALSE)+VLOOKUP(B26,'Risk &amp; Uncertainty Scoring Bin'!$F$13:$H$37,3,FALSE)</f>
        <v>18</v>
      </c>
      <c r="M26" s="283">
        <f>VLOOKUP(B26,'Risk &amp; Uncertainty Scoring Bin'!$J$13:$L$37,3,FALSE)+VLOOKUP(B26,'Risk &amp; Uncertainty Scoring Bin'!$N$13:$P$37,3,FALSE)</f>
        <v>10</v>
      </c>
      <c r="N26" s="283">
        <f>VLOOKUP(B26,'Risk &amp; Uncertainty Scoring Bin'!$R$13:$T$37,3,FALSE)</f>
        <v>5</v>
      </c>
      <c r="O26" s="284">
        <f t="shared" si="1"/>
        <v>2</v>
      </c>
      <c r="P26" s="284">
        <f t="shared" si="2"/>
        <v>5</v>
      </c>
      <c r="Q26" s="285">
        <f t="shared" si="3"/>
        <v>4.5999999999999996</v>
      </c>
      <c r="R26" s="284">
        <f t="shared" si="4"/>
        <v>5.5</v>
      </c>
      <c r="S26" s="284">
        <f t="shared" si="5"/>
        <v>4</v>
      </c>
      <c r="T26" s="286">
        <f t="shared" si="6"/>
        <v>12.2</v>
      </c>
      <c r="U26" s="287">
        <f t="shared" si="7"/>
        <v>47.93</v>
      </c>
      <c r="V26" s="288">
        <f t="shared" si="0"/>
        <v>14</v>
      </c>
      <c r="W26" s="289">
        <f>_xlfn.RANK.EQ(Data!K22,Data!$K$4:$K$28,1)</f>
        <v>9</v>
      </c>
      <c r="X26" s="290">
        <f t="shared" si="8"/>
        <v>-5</v>
      </c>
    </row>
    <row r="27" spans="1:24" ht="15">
      <c r="A27" s="291">
        <f>+'List of Actions'!A22</f>
        <v>20</v>
      </c>
      <c r="B27" s="292" t="str">
        <f>+'List of Actions'!B24</f>
        <v>Water Systems EE 20% by 2035</v>
      </c>
      <c r="C27" s="278">
        <f>VLOOKUP(B27,'GHG Reduction Scoring Bin'!$B$20:$G$44,6,FALSE)</f>
        <v>2</v>
      </c>
      <c r="D27" s="279">
        <f>VLOOKUP(B27,'Cost-Effectiveness Scoring Bin'!$B$20:$G$45,6,FALSE)</f>
        <v>3</v>
      </c>
      <c r="E27" s="280">
        <f>VLOOKUP(B27,'Equity Scoring Bin'!$B$21:$F$46,5,FALSE)</f>
        <v>1</v>
      </c>
      <c r="F27" s="280">
        <f>VLOOKUP(B27,'Equity Scoring Bin'!$K$21:$O$47,5,FALSE)</f>
        <v>1</v>
      </c>
      <c r="G27" s="280">
        <f>VLOOKUP(B27,'Equity Scoring Bin'!$T$21:$V$47,3,FALSE)</f>
        <v>0</v>
      </c>
      <c r="H27" s="281">
        <f>VLOOKUP(B27,'Health Scoring Bin'!$B$21:$F$46,5,FALSE)</f>
        <v>2</v>
      </c>
      <c r="I27" s="281">
        <f>VLOOKUP(B27,'Health Scoring Bin'!$L$21:$N$47,3,FALSE)</f>
        <v>0</v>
      </c>
      <c r="J27" s="282">
        <f>VLOOKUP(B27,'Jobs-Econ Prosp Scoring Bin'!$B$21:$G$47,6,FALSE)</f>
        <v>6</v>
      </c>
      <c r="K27" s="282">
        <f>VLOOKUP(B27,'Jobs-Econ Prosp Scoring Bin'!$L$21:$Q$47,6,FALSE)</f>
        <v>6</v>
      </c>
      <c r="L27" s="283">
        <f>VLOOKUP(B27,'Risk &amp; Uncertainty Scoring Bin'!$B$13:$D$37,3,FALSE)+VLOOKUP(B27,'Risk &amp; Uncertainty Scoring Bin'!$F$13:$H$37,3,FALSE)</f>
        <v>20</v>
      </c>
      <c r="M27" s="283">
        <f>VLOOKUP(B27,'Risk &amp; Uncertainty Scoring Bin'!$J$13:$L$37,3,FALSE)+VLOOKUP(B27,'Risk &amp; Uncertainty Scoring Bin'!$N$13:$P$37,3,FALSE)</f>
        <v>12</v>
      </c>
      <c r="N27" s="283">
        <f>VLOOKUP(B27,'Risk &amp; Uncertainty Scoring Bin'!$R$13:$T$37,3,FALSE)</f>
        <v>5</v>
      </c>
      <c r="O27" s="284">
        <f t="shared" si="1"/>
        <v>2</v>
      </c>
      <c r="P27" s="284">
        <f t="shared" si="2"/>
        <v>3</v>
      </c>
      <c r="Q27" s="285">
        <f t="shared" si="3"/>
        <v>0.60000000000000009</v>
      </c>
      <c r="R27" s="284">
        <f t="shared" si="4"/>
        <v>1</v>
      </c>
      <c r="S27" s="284">
        <f t="shared" si="5"/>
        <v>6</v>
      </c>
      <c r="T27" s="286">
        <f t="shared" si="6"/>
        <v>13.8</v>
      </c>
      <c r="U27" s="287">
        <f t="shared" si="7"/>
        <v>36.339999999999996</v>
      </c>
      <c r="V27" s="288">
        <f t="shared" si="0"/>
        <v>24</v>
      </c>
      <c r="W27" s="289">
        <f>_xlfn.RANK.EQ(Data!K23,Data!$K$4:$K$28,1)</f>
        <v>15</v>
      </c>
      <c r="X27" s="290">
        <f t="shared" si="8"/>
        <v>-9</v>
      </c>
    </row>
    <row r="28" spans="1:24" ht="15">
      <c r="A28" s="291">
        <f>+'List of Actions'!A23</f>
        <v>21</v>
      </c>
      <c r="B28" s="292" t="str">
        <f>+'List of Actions'!B25</f>
        <v>Food Waste Program</v>
      </c>
      <c r="C28" s="278">
        <f>VLOOKUP(B28,'GHG Reduction Scoring Bin'!$B$20:$G$44,6,FALSE)</f>
        <v>3</v>
      </c>
      <c r="D28" s="279">
        <f>VLOOKUP(B28,'Cost-Effectiveness Scoring Bin'!$B$20:$G$45,6,FALSE)</f>
        <v>8</v>
      </c>
      <c r="E28" s="280">
        <f>VLOOKUP(B28,'Equity Scoring Bin'!$B$21:$F$46,5,FALSE)</f>
        <v>1</v>
      </c>
      <c r="F28" s="280">
        <f>VLOOKUP(B28,'Equity Scoring Bin'!$K$21:$O$47,5,FALSE)</f>
        <v>1</v>
      </c>
      <c r="G28" s="280">
        <f>VLOOKUP(B28,'Equity Scoring Bin'!$T$21:$V$47,3,FALSE)</f>
        <v>10</v>
      </c>
      <c r="H28" s="281">
        <f>VLOOKUP(B28,'Health Scoring Bin'!$B$21:$F$46,5,FALSE)</f>
        <v>1</v>
      </c>
      <c r="I28" s="281">
        <f>VLOOKUP(B28,'Health Scoring Bin'!$L$21:$N$47,3,FALSE)</f>
        <v>10</v>
      </c>
      <c r="J28" s="282">
        <f>VLOOKUP(B28,'Jobs-Econ Prosp Scoring Bin'!$B$21:$G$47,6,FALSE)</f>
        <v>6</v>
      </c>
      <c r="K28" s="282">
        <f>VLOOKUP(B28,'Jobs-Econ Prosp Scoring Bin'!$L$21:$Q$47,6,FALSE)</f>
        <v>5</v>
      </c>
      <c r="L28" s="283">
        <f>VLOOKUP(B28,'Risk &amp; Uncertainty Scoring Bin'!$B$13:$D$37,3,FALSE)+VLOOKUP(B28,'Risk &amp; Uncertainty Scoring Bin'!$F$13:$H$37,3,FALSE)</f>
        <v>14</v>
      </c>
      <c r="M28" s="283">
        <f>VLOOKUP(B28,'Risk &amp; Uncertainty Scoring Bin'!$J$13:$L$37,3,FALSE)+VLOOKUP(B28,'Risk &amp; Uncertainty Scoring Bin'!$N$13:$P$37,3,FALSE)</f>
        <v>12</v>
      </c>
      <c r="N28" s="283">
        <f>VLOOKUP(B28,'Risk &amp; Uncertainty Scoring Bin'!$R$13:$T$37,3,FALSE)</f>
        <v>5</v>
      </c>
      <c r="O28" s="284">
        <f t="shared" si="1"/>
        <v>3</v>
      </c>
      <c r="P28" s="284">
        <f t="shared" si="2"/>
        <v>8</v>
      </c>
      <c r="Q28" s="285">
        <f t="shared" si="3"/>
        <v>4.5999999999999996</v>
      </c>
      <c r="R28" s="284">
        <f t="shared" si="4"/>
        <v>5.5</v>
      </c>
      <c r="S28" s="284">
        <f t="shared" si="5"/>
        <v>5.5</v>
      </c>
      <c r="T28" s="286">
        <f t="shared" si="6"/>
        <v>11.400000000000002</v>
      </c>
      <c r="U28" s="287">
        <f t="shared" si="7"/>
        <v>56.550000000000004</v>
      </c>
      <c r="V28" s="288">
        <f t="shared" si="0"/>
        <v>9</v>
      </c>
      <c r="W28" s="289">
        <f>_xlfn.RANK.EQ(Data!K24,Data!$K$4:$K$28,1)</f>
        <v>2</v>
      </c>
      <c r="X28" s="290">
        <f t="shared" si="8"/>
        <v>-7</v>
      </c>
    </row>
    <row r="29" spans="1:24" ht="15">
      <c r="A29" s="291">
        <f>+'List of Actions'!A24</f>
        <v>22</v>
      </c>
      <c r="B29" s="292" t="str">
        <f>+'List of Actions'!D26</f>
        <v>Ind RH2 70% by 2050</v>
      </c>
      <c r="C29" s="278">
        <f>VLOOKUP(B29,'GHG Reduction Scoring Bin'!$B$20:$G$44,6,FALSE)</f>
        <v>9</v>
      </c>
      <c r="D29" s="279">
        <f>VLOOKUP(B29,'Cost-Effectiveness Scoring Bin'!$B$20:$G$45,6,FALSE)</f>
        <v>3</v>
      </c>
      <c r="E29" s="280">
        <f>VLOOKUP(B29,'Equity Scoring Bin'!$B$21:$F$46,5,FALSE)</f>
        <v>2</v>
      </c>
      <c r="F29" s="280">
        <f>VLOOKUP(B29,'Equity Scoring Bin'!$K$21:$O$47,5,FALSE)</f>
        <v>1</v>
      </c>
      <c r="G29" s="280">
        <f>VLOOKUP(B29,'Equity Scoring Bin'!$T$21:$V$47,3,FALSE)</f>
        <v>0</v>
      </c>
      <c r="H29" s="281">
        <f>VLOOKUP(B29,'Health Scoring Bin'!$B$21:$F$46,5,FALSE)</f>
        <v>2</v>
      </c>
      <c r="I29" s="281">
        <f>VLOOKUP(B29,'Health Scoring Bin'!$L$21:$N$47,3,FALSE)</f>
        <v>0</v>
      </c>
      <c r="J29" s="282">
        <f>VLOOKUP(B29,'Jobs-Econ Prosp Scoring Bin'!$B$21:$G$47,6,FALSE)</f>
        <v>4</v>
      </c>
      <c r="K29" s="282">
        <f>VLOOKUP(B29,'Jobs-Econ Prosp Scoring Bin'!$L$21:$Q$47,6,FALSE)</f>
        <v>10</v>
      </c>
      <c r="L29" s="283">
        <f>VLOOKUP(B29,'Risk &amp; Uncertainty Scoring Bin'!$B$13:$D$37,3,FALSE)+VLOOKUP(B29,'Risk &amp; Uncertainty Scoring Bin'!$F$13:$H$37,3,FALSE)</f>
        <v>18</v>
      </c>
      <c r="M29" s="283">
        <f>VLOOKUP(B29,'Risk &amp; Uncertainty Scoring Bin'!$J$13:$L$37,3,FALSE)+VLOOKUP(B29,'Risk &amp; Uncertainty Scoring Bin'!$N$13:$P$37,3,FALSE)</f>
        <v>12</v>
      </c>
      <c r="N29" s="283">
        <f>VLOOKUP(B29,'Risk &amp; Uncertainty Scoring Bin'!$R$13:$T$37,3,FALSE)</f>
        <v>5</v>
      </c>
      <c r="O29" s="284">
        <f t="shared" si="1"/>
        <v>9</v>
      </c>
      <c r="P29" s="284">
        <f t="shared" si="2"/>
        <v>3</v>
      </c>
      <c r="Q29" s="285">
        <f t="shared" si="3"/>
        <v>1</v>
      </c>
      <c r="R29" s="284">
        <f t="shared" si="4"/>
        <v>1</v>
      </c>
      <c r="S29" s="284">
        <f t="shared" si="5"/>
        <v>7</v>
      </c>
      <c r="T29" s="286">
        <f t="shared" si="6"/>
        <v>13</v>
      </c>
      <c r="U29" s="287">
        <f t="shared" si="7"/>
        <v>57.8</v>
      </c>
      <c r="V29" s="288">
        <f t="shared" si="0"/>
        <v>8</v>
      </c>
      <c r="W29" s="289">
        <f>_xlfn.RANK.EQ(Data!K25,Data!$K$4:$K$28,1)</f>
        <v>16</v>
      </c>
      <c r="X29" s="290">
        <f t="shared" si="8"/>
        <v>8</v>
      </c>
    </row>
    <row r="30" spans="1:24" ht="15">
      <c r="A30" s="291">
        <f>+'List of Actions'!A25</f>
        <v>23</v>
      </c>
      <c r="B30" s="292" t="str">
        <f>+'List of Actions'!D27</f>
        <v>RNG Full Potential by 2050</v>
      </c>
      <c r="C30" s="278">
        <f>VLOOKUP(B30,'GHG Reduction Scoring Bin'!$B$20:$G$44,6,FALSE)</f>
        <v>10</v>
      </c>
      <c r="D30" s="279">
        <f>VLOOKUP(B30,'Cost-Effectiveness Scoring Bin'!$B$20:$G$45,6,FALSE)</f>
        <v>3</v>
      </c>
      <c r="E30" s="280">
        <f>VLOOKUP(B30,'Equity Scoring Bin'!$B$21:$F$46,5,FALSE)</f>
        <v>1</v>
      </c>
      <c r="F30" s="280">
        <f>VLOOKUP(B30,'Equity Scoring Bin'!$K$21:$O$47,5,FALSE)</f>
        <v>1</v>
      </c>
      <c r="G30" s="280">
        <f>VLOOKUP(B30,'Equity Scoring Bin'!$T$21:$V$47,3,FALSE)</f>
        <v>0</v>
      </c>
      <c r="H30" s="281">
        <f>VLOOKUP(B30,'Health Scoring Bin'!$B$21:$F$46,5,FALSE)</f>
        <v>1</v>
      </c>
      <c r="I30" s="281">
        <f>VLOOKUP(B30,'Health Scoring Bin'!$L$21:$N$47,3,FALSE)</f>
        <v>0</v>
      </c>
      <c r="J30" s="282">
        <f>VLOOKUP(B30,'Jobs-Econ Prosp Scoring Bin'!$B$21:$G$47,6,FALSE)</f>
        <v>4</v>
      </c>
      <c r="K30" s="282">
        <f>VLOOKUP(B30,'Jobs-Econ Prosp Scoring Bin'!$L$21:$Q$47,6,FALSE)</f>
        <v>9</v>
      </c>
      <c r="L30" s="283">
        <f>VLOOKUP(B30,'Risk &amp; Uncertainty Scoring Bin'!$B$13:$D$37,3,FALSE)+VLOOKUP(B30,'Risk &amp; Uncertainty Scoring Bin'!$F$13:$H$37,3,FALSE)</f>
        <v>18</v>
      </c>
      <c r="M30" s="283">
        <f>VLOOKUP(B30,'Risk &amp; Uncertainty Scoring Bin'!$J$13:$L$37,3,FALSE)+VLOOKUP(B30,'Risk &amp; Uncertainty Scoring Bin'!$N$13:$P$37,3,FALSE)</f>
        <v>14</v>
      </c>
      <c r="N30" s="283">
        <f>VLOOKUP(B30,'Risk &amp; Uncertainty Scoring Bin'!$R$13:$T$37,3,FALSE)</f>
        <v>5</v>
      </c>
      <c r="O30" s="284">
        <f t="shared" si="1"/>
        <v>10</v>
      </c>
      <c r="P30" s="284">
        <f t="shared" si="2"/>
        <v>3</v>
      </c>
      <c r="Q30" s="285">
        <f t="shared" si="3"/>
        <v>0.60000000000000009</v>
      </c>
      <c r="R30" s="284">
        <f t="shared" si="4"/>
        <v>0.5</v>
      </c>
      <c r="S30" s="284">
        <f t="shared" si="5"/>
        <v>6.5</v>
      </c>
      <c r="T30" s="286">
        <f t="shared" si="6"/>
        <v>13.8</v>
      </c>
      <c r="U30" s="287">
        <f t="shared" si="7"/>
        <v>59.489999999999995</v>
      </c>
      <c r="V30" s="288">
        <f t="shared" si="0"/>
        <v>7</v>
      </c>
      <c r="W30" s="289">
        <f>_xlfn.RANK.EQ(Data!K26,Data!$K$4:$K$28,1)</f>
        <v>18</v>
      </c>
      <c r="X30" s="290">
        <f t="shared" si="8"/>
        <v>11</v>
      </c>
    </row>
    <row r="31" spans="1:24" ht="15">
      <c r="A31" s="291">
        <f>+'List of Actions'!A26</f>
        <v>24</v>
      </c>
      <c r="B31" s="292" t="str">
        <f>+'List of Actions'!D28</f>
        <v>RH2 Injection 15% by 2035</v>
      </c>
      <c r="C31" s="278">
        <f>VLOOKUP(B31,'GHG Reduction Scoring Bin'!$B$20:$G$44,6,FALSE)</f>
        <v>5</v>
      </c>
      <c r="D31" s="279">
        <f>VLOOKUP(B31,'Cost-Effectiveness Scoring Bin'!$B$20:$G$45,6,FALSE)</f>
        <v>3</v>
      </c>
      <c r="E31" s="280">
        <f>VLOOKUP(B31,'Equity Scoring Bin'!$B$21:$F$46,5,FALSE)</f>
        <v>2</v>
      </c>
      <c r="F31" s="280">
        <f>VLOOKUP(B31,'Equity Scoring Bin'!$K$21:$O$47,5,FALSE)</f>
        <v>1</v>
      </c>
      <c r="G31" s="280">
        <f>VLOOKUP(B31,'Equity Scoring Bin'!$T$21:$V$47,3,FALSE)</f>
        <v>0</v>
      </c>
      <c r="H31" s="281">
        <f>VLOOKUP(B31,'Health Scoring Bin'!$B$21:$F$46,5,FALSE)</f>
        <v>2</v>
      </c>
      <c r="I31" s="281">
        <f>VLOOKUP(B31,'Health Scoring Bin'!$L$21:$N$47,3,FALSE)</f>
        <v>0</v>
      </c>
      <c r="J31" s="282">
        <f>VLOOKUP(B31,'Jobs-Econ Prosp Scoring Bin'!$B$21:$G$47,6,FALSE)</f>
        <v>4</v>
      </c>
      <c r="K31" s="282">
        <f>VLOOKUP(B31,'Jobs-Econ Prosp Scoring Bin'!$L$21:$Q$47,6,FALSE)</f>
        <v>8</v>
      </c>
      <c r="L31" s="283">
        <f>VLOOKUP(B31,'Risk &amp; Uncertainty Scoring Bin'!$B$13:$D$37,3,FALSE)+VLOOKUP(B31,'Risk &amp; Uncertainty Scoring Bin'!$F$13:$H$37,3,FALSE)</f>
        <v>14</v>
      </c>
      <c r="M31" s="283">
        <f>VLOOKUP(B31,'Risk &amp; Uncertainty Scoring Bin'!$J$13:$L$37,3,FALSE)+VLOOKUP(B31,'Risk &amp; Uncertainty Scoring Bin'!$N$13:$P$37,3,FALSE)</f>
        <v>8</v>
      </c>
      <c r="N31" s="283">
        <f>VLOOKUP(B31,'Risk &amp; Uncertainty Scoring Bin'!$R$13:$T$37,3,FALSE)</f>
        <v>5</v>
      </c>
      <c r="O31" s="284">
        <f t="shared" si="1"/>
        <v>5</v>
      </c>
      <c r="P31" s="284">
        <f t="shared" si="2"/>
        <v>3</v>
      </c>
      <c r="Q31" s="285">
        <f t="shared" si="3"/>
        <v>1</v>
      </c>
      <c r="R31" s="284">
        <f t="shared" si="4"/>
        <v>1</v>
      </c>
      <c r="S31" s="284">
        <f t="shared" si="5"/>
        <v>6</v>
      </c>
      <c r="T31" s="286">
        <f t="shared" si="6"/>
        <v>9.8000000000000007</v>
      </c>
      <c r="U31" s="287">
        <f t="shared" si="7"/>
        <v>41.28</v>
      </c>
      <c r="V31" s="288">
        <f t="shared" si="0"/>
        <v>21</v>
      </c>
      <c r="W31" s="289">
        <f>_xlfn.RANK.EQ(Data!K27,Data!$K$4:$K$28,1)</f>
        <v>17</v>
      </c>
      <c r="X31" s="290">
        <f t="shared" si="8"/>
        <v>-4</v>
      </c>
    </row>
    <row r="32" spans="1:24" ht="15">
      <c r="A32" s="291">
        <f>+'List of Actions'!A27</f>
        <v>25</v>
      </c>
      <c r="B32" s="292" t="str">
        <f>+'List of Actions'!D29</f>
        <v>Home Fuel Cells 5% by 2030</v>
      </c>
      <c r="C32" s="278">
        <f>VLOOKUP(B32,'GHG Reduction Scoring Bin'!$B$20:$G$44,6,FALSE)</f>
        <v>3</v>
      </c>
      <c r="D32" s="279">
        <f>VLOOKUP(B32,'Cost-Effectiveness Scoring Bin'!$B$20:$G$45,6,FALSE)</f>
        <v>4</v>
      </c>
      <c r="E32" s="280">
        <f>VLOOKUP(B32,'Equity Scoring Bin'!$B$21:$F$46,5,FALSE)</f>
        <v>1</v>
      </c>
      <c r="F32" s="280">
        <f>VLOOKUP(B32,'Equity Scoring Bin'!$K$21:$O$47,5,FALSE)</f>
        <v>1</v>
      </c>
      <c r="G32" s="280">
        <f>VLOOKUP(B32,'Equity Scoring Bin'!$T$21:$V$47,3,FALSE)</f>
        <v>8</v>
      </c>
      <c r="H32" s="281">
        <f>VLOOKUP(B32,'Health Scoring Bin'!$B$21:$F$46,5,FALSE)</f>
        <v>2</v>
      </c>
      <c r="I32" s="281">
        <f>VLOOKUP(B32,'Health Scoring Bin'!$L$21:$N$47,3,FALSE)</f>
        <v>8</v>
      </c>
      <c r="J32" s="282">
        <f>VLOOKUP(B32,'Jobs-Econ Prosp Scoring Bin'!$B$21:$G$47,6,FALSE)</f>
        <v>4</v>
      </c>
      <c r="K32" s="282">
        <f>VLOOKUP(B32,'Jobs-Econ Prosp Scoring Bin'!$L$21:$Q$47,6,FALSE)</f>
        <v>4</v>
      </c>
      <c r="L32" s="283">
        <f>VLOOKUP(B32,'Risk &amp; Uncertainty Scoring Bin'!$B$13:$D$37,3,FALSE)+VLOOKUP(B32,'Risk &amp; Uncertainty Scoring Bin'!$F$13:$H$37,3,FALSE)</f>
        <v>12</v>
      </c>
      <c r="M32" s="283">
        <f>VLOOKUP(B32,'Risk &amp; Uncertainty Scoring Bin'!$J$13:$L$37,3,FALSE)+VLOOKUP(B32,'Risk &amp; Uncertainty Scoring Bin'!$N$13:$P$37,3,FALSE)</f>
        <v>10</v>
      </c>
      <c r="N32" s="283">
        <f>VLOOKUP(B32,'Risk &amp; Uncertainty Scoring Bin'!$R$13:$T$37,3,FALSE)</f>
        <v>5</v>
      </c>
      <c r="O32" s="284">
        <f t="shared" si="1"/>
        <v>3</v>
      </c>
      <c r="P32" s="284">
        <f t="shared" si="2"/>
        <v>4</v>
      </c>
      <c r="Q32" s="285">
        <f t="shared" si="3"/>
        <v>3.8000000000000003</v>
      </c>
      <c r="R32" s="284">
        <f t="shared" si="4"/>
        <v>5</v>
      </c>
      <c r="S32" s="284">
        <f t="shared" si="5"/>
        <v>4</v>
      </c>
      <c r="T32" s="286">
        <f t="shared" si="6"/>
        <v>9.8000000000000007</v>
      </c>
      <c r="U32" s="287">
        <f t="shared" si="7"/>
        <v>44.660000000000004</v>
      </c>
      <c r="V32" s="288">
        <f t="shared" si="0"/>
        <v>18</v>
      </c>
      <c r="W32" s="289">
        <f>_xlfn.RANK.EQ(Data!K28,Data!$K$4:$K$28,1)</f>
        <v>14</v>
      </c>
      <c r="X32" s="290">
        <f t="shared" si="8"/>
        <v>-4</v>
      </c>
    </row>
    <row r="33" spans="1:24" ht="15">
      <c r="A33" s="293"/>
      <c r="B33" s="205"/>
      <c r="C33" s="205"/>
      <c r="D33" s="205"/>
      <c r="E33" s="205"/>
      <c r="F33" s="205"/>
      <c r="G33" s="205"/>
      <c r="H33" s="205"/>
      <c r="I33" s="205"/>
      <c r="J33" s="205"/>
      <c r="K33" s="205"/>
      <c r="L33" s="205"/>
      <c r="M33" s="205"/>
      <c r="N33" s="205"/>
      <c r="O33" s="205"/>
      <c r="P33" s="205"/>
      <c r="Q33" s="205"/>
      <c r="R33" s="205"/>
      <c r="S33" s="205"/>
      <c r="T33" s="205"/>
      <c r="U33" s="205"/>
      <c r="V33" s="205"/>
      <c r="W33" s="205"/>
      <c r="X33" s="294"/>
    </row>
    <row r="34" spans="1:24" ht="15">
      <c r="A34" s="293"/>
      <c r="B34" s="205"/>
      <c r="C34" s="205"/>
      <c r="D34" s="205"/>
      <c r="E34" s="205"/>
      <c r="F34" s="205"/>
      <c r="G34" s="205"/>
      <c r="H34" s="205"/>
      <c r="I34" s="205"/>
      <c r="J34" s="205"/>
      <c r="K34" s="205"/>
      <c r="L34" s="205"/>
      <c r="M34" s="205"/>
      <c r="N34" s="205"/>
      <c r="O34" s="205"/>
      <c r="P34" s="205"/>
      <c r="Q34" s="205"/>
      <c r="R34" s="205"/>
      <c r="S34" s="205"/>
      <c r="T34" s="205"/>
      <c r="U34" s="205"/>
      <c r="V34" s="205"/>
      <c r="W34" s="205"/>
      <c r="X34" s="294"/>
    </row>
    <row r="35" spans="1:24" ht="15">
      <c r="A35" s="293"/>
      <c r="B35" s="205"/>
      <c r="C35" s="205"/>
      <c r="D35" s="205"/>
      <c r="E35" s="205"/>
      <c r="F35" s="205"/>
      <c r="G35" s="205"/>
      <c r="H35" s="205"/>
      <c r="I35" s="205"/>
      <c r="J35" s="205"/>
      <c r="K35" s="205"/>
      <c r="L35" s="205"/>
      <c r="M35" s="205"/>
      <c r="N35" s="205"/>
      <c r="O35" s="205"/>
      <c r="P35" s="205"/>
      <c r="Q35" s="205"/>
      <c r="R35" s="205"/>
      <c r="S35" s="205"/>
      <c r="T35" s="205"/>
      <c r="U35" s="205"/>
      <c r="V35" s="205"/>
      <c r="W35" s="205"/>
      <c r="X35" s="294"/>
    </row>
    <row r="36" spans="1:24" ht="15">
      <c r="A36" s="293"/>
      <c r="B36" s="205"/>
      <c r="C36" s="205"/>
      <c r="D36" s="205"/>
      <c r="E36" s="205"/>
      <c r="F36" s="205"/>
      <c r="G36" s="205"/>
      <c r="H36" s="205"/>
      <c r="I36" s="205"/>
      <c r="J36" s="205"/>
      <c r="K36" s="205"/>
      <c r="L36" s="205"/>
      <c r="M36" s="205"/>
      <c r="N36" s="205"/>
      <c r="O36" s="205"/>
      <c r="P36" s="205"/>
      <c r="Q36" s="205"/>
      <c r="R36" s="205"/>
      <c r="S36" s="205"/>
      <c r="T36" s="205"/>
      <c r="U36" s="205"/>
      <c r="V36" s="205"/>
      <c r="W36" s="205"/>
      <c r="X36" s="294"/>
    </row>
    <row r="37" spans="1:24" ht="15">
      <c r="A37" s="293"/>
      <c r="B37" s="205"/>
      <c r="C37" s="205"/>
      <c r="D37" s="205"/>
      <c r="E37" s="205"/>
      <c r="F37" s="205"/>
      <c r="G37" s="205"/>
      <c r="H37" s="205"/>
      <c r="I37" s="205"/>
      <c r="J37" s="205"/>
      <c r="K37" s="205"/>
      <c r="L37" s="205"/>
      <c r="M37" s="205"/>
      <c r="N37" s="205"/>
      <c r="O37" s="205"/>
      <c r="P37" s="205"/>
      <c r="Q37" s="205"/>
      <c r="R37" s="205"/>
      <c r="S37" s="205"/>
      <c r="T37" s="205"/>
      <c r="U37" s="205"/>
      <c r="V37" s="205"/>
      <c r="W37" s="205"/>
      <c r="X37" s="294"/>
    </row>
    <row r="38" spans="1:24" ht="15">
      <c r="A38" s="293"/>
      <c r="B38" s="205"/>
      <c r="C38" s="205"/>
      <c r="D38" s="205"/>
      <c r="E38" s="205"/>
      <c r="F38" s="205"/>
      <c r="G38" s="205"/>
      <c r="H38" s="205"/>
      <c r="I38" s="205"/>
      <c r="J38" s="205"/>
      <c r="K38" s="205"/>
      <c r="L38" s="205"/>
      <c r="M38" s="205"/>
      <c r="N38" s="205"/>
      <c r="O38" s="205"/>
      <c r="P38" s="205"/>
      <c r="Q38" s="205"/>
      <c r="R38" s="205"/>
      <c r="S38" s="205"/>
      <c r="T38" s="205"/>
      <c r="U38" s="205"/>
      <c r="V38" s="205"/>
      <c r="W38" s="205"/>
      <c r="X38" s="294"/>
    </row>
    <row r="39" spans="1:24" ht="15">
      <c r="A39" s="293"/>
      <c r="B39" s="205"/>
      <c r="C39" s="205"/>
      <c r="D39" s="205"/>
      <c r="E39" s="205"/>
      <c r="F39" s="205"/>
      <c r="G39" s="205"/>
      <c r="H39" s="205"/>
      <c r="I39" s="205"/>
      <c r="J39" s="205"/>
      <c r="K39" s="205"/>
      <c r="L39" s="205"/>
      <c r="M39" s="205"/>
      <c r="N39" s="205"/>
      <c r="O39" s="205"/>
      <c r="P39" s="205"/>
      <c r="Q39" s="205"/>
      <c r="R39" s="205"/>
      <c r="S39" s="205"/>
      <c r="T39" s="205"/>
      <c r="U39" s="205"/>
      <c r="V39" s="205"/>
      <c r="W39" s="205"/>
      <c r="X39" s="294"/>
    </row>
    <row r="40" spans="1:24" ht="15">
      <c r="A40" s="293"/>
      <c r="B40" s="205"/>
      <c r="C40" s="205"/>
      <c r="D40" s="205"/>
      <c r="E40" s="205"/>
      <c r="F40" s="205"/>
      <c r="G40" s="205"/>
      <c r="H40" s="205"/>
      <c r="I40" s="205"/>
      <c r="J40" s="205"/>
      <c r="K40" s="205"/>
      <c r="L40" s="205"/>
      <c r="M40" s="205"/>
      <c r="N40" s="205"/>
      <c r="O40" s="205"/>
      <c r="P40" s="205"/>
      <c r="Q40" s="205"/>
      <c r="R40" s="205"/>
      <c r="S40" s="205"/>
      <c r="T40" s="205"/>
      <c r="U40" s="205"/>
      <c r="V40" s="205"/>
      <c r="W40" s="205"/>
      <c r="X40" s="294"/>
    </row>
    <row r="41" spans="1:24" ht="15">
      <c r="A41" s="293"/>
      <c r="B41" s="205"/>
      <c r="C41" s="205"/>
      <c r="D41" s="205"/>
      <c r="E41" s="205"/>
      <c r="F41" s="205"/>
      <c r="G41" s="205"/>
      <c r="H41" s="205"/>
      <c r="I41" s="205"/>
      <c r="J41" s="205"/>
      <c r="K41" s="205"/>
      <c r="L41" s="205"/>
      <c r="M41" s="205"/>
      <c r="N41" s="205"/>
      <c r="O41" s="205"/>
      <c r="P41" s="205"/>
      <c r="Q41" s="205"/>
      <c r="R41" s="205"/>
      <c r="S41" s="205"/>
      <c r="T41" s="205"/>
      <c r="U41" s="205"/>
      <c r="V41" s="205"/>
      <c r="W41" s="205"/>
      <c r="X41" s="294"/>
    </row>
    <row r="42" spans="1:24" ht="15">
      <c r="A42" s="293"/>
      <c r="B42" s="205"/>
      <c r="C42" s="205"/>
      <c r="D42" s="205"/>
      <c r="E42" s="205"/>
      <c r="F42" s="205"/>
      <c r="G42" s="205"/>
      <c r="H42" s="205"/>
      <c r="I42" s="205"/>
      <c r="J42" s="205"/>
      <c r="K42" s="205"/>
      <c r="L42" s="205"/>
      <c r="M42" s="205"/>
      <c r="N42" s="205"/>
      <c r="O42" s="205"/>
      <c r="P42" s="205"/>
      <c r="Q42" s="205"/>
      <c r="R42" s="205"/>
      <c r="S42" s="205"/>
      <c r="T42" s="205"/>
      <c r="U42" s="205"/>
      <c r="V42" s="205"/>
      <c r="W42" s="205"/>
      <c r="X42" s="294"/>
    </row>
    <row r="43" spans="1:24" ht="15">
      <c r="A43" s="293"/>
      <c r="B43" s="205"/>
      <c r="C43" s="205"/>
      <c r="D43" s="205"/>
      <c r="E43" s="205"/>
      <c r="F43" s="205"/>
      <c r="G43" s="205"/>
      <c r="H43" s="205"/>
      <c r="I43" s="205"/>
      <c r="J43" s="205"/>
      <c r="K43" s="205"/>
      <c r="L43" s="205"/>
      <c r="M43" s="205"/>
      <c r="N43" s="205"/>
      <c r="O43" s="205"/>
      <c r="P43" s="205"/>
      <c r="Q43" s="205"/>
      <c r="R43" s="205"/>
      <c r="S43" s="205"/>
      <c r="T43" s="205"/>
      <c r="U43" s="205"/>
      <c r="V43" s="205"/>
      <c r="W43" s="205"/>
      <c r="X43" s="294"/>
    </row>
    <row r="44" spans="1:24" ht="15" thickBot="1"/>
    <row r="45" spans="1:24" ht="20.25">
      <c r="E45" s="295" t="s">
        <v>172</v>
      </c>
      <c r="F45" s="296"/>
      <c r="G45" s="296"/>
      <c r="H45" s="296"/>
      <c r="I45" s="296"/>
      <c r="J45" s="296"/>
      <c r="K45" s="296"/>
      <c r="L45" s="296"/>
      <c r="M45" s="296"/>
      <c r="N45" s="296"/>
      <c r="O45" s="296"/>
      <c r="P45" s="296"/>
      <c r="Q45" s="296"/>
      <c r="R45" s="296"/>
      <c r="S45" s="296"/>
      <c r="T45" s="297"/>
    </row>
    <row r="46" spans="1:24">
      <c r="E46" s="298"/>
      <c r="T46" s="299"/>
    </row>
    <row r="47" spans="1:24" ht="15">
      <c r="B47" s="300" t="s">
        <v>163</v>
      </c>
      <c r="E47" s="301" t="s">
        <v>166</v>
      </c>
      <c r="J47" s="302" t="s">
        <v>168</v>
      </c>
      <c r="N47" s="302" t="s">
        <v>170</v>
      </c>
      <c r="S47" s="302" t="s">
        <v>39</v>
      </c>
      <c r="T47" s="303"/>
    </row>
    <row r="48" spans="1:24">
      <c r="B48" s="207" t="s">
        <v>165</v>
      </c>
      <c r="D48" s="207">
        <v>1</v>
      </c>
      <c r="E48" s="304" t="s">
        <v>260</v>
      </c>
      <c r="F48" s="305"/>
      <c r="G48" s="305"/>
      <c r="H48" s="305"/>
      <c r="I48" s="306" t="s">
        <v>173</v>
      </c>
      <c r="J48" s="307" t="s">
        <v>260</v>
      </c>
      <c r="K48" s="305"/>
      <c r="L48" s="305"/>
      <c r="M48" s="207">
        <v>5</v>
      </c>
      <c r="N48" s="307" t="s">
        <v>169</v>
      </c>
      <c r="O48" s="305"/>
      <c r="P48" s="305"/>
      <c r="R48" s="207">
        <v>7</v>
      </c>
      <c r="S48" s="308" t="s">
        <v>21</v>
      </c>
      <c r="T48" s="299"/>
    </row>
    <row r="49" spans="2:20">
      <c r="B49" s="207" t="s">
        <v>162</v>
      </c>
      <c r="D49" s="207">
        <v>2</v>
      </c>
      <c r="E49" s="307" t="s">
        <v>167</v>
      </c>
      <c r="F49" s="305"/>
      <c r="G49" s="305"/>
      <c r="H49" s="305"/>
      <c r="I49" s="207">
        <v>4</v>
      </c>
      <c r="J49" s="308" t="s">
        <v>183</v>
      </c>
      <c r="M49" s="207">
        <v>6</v>
      </c>
      <c r="N49" s="307" t="s">
        <v>171</v>
      </c>
      <c r="O49" s="305"/>
      <c r="P49" s="305"/>
      <c r="Q49" s="305"/>
      <c r="R49" s="207">
        <v>8</v>
      </c>
      <c r="S49" s="308" t="s">
        <v>22</v>
      </c>
      <c r="T49" s="299"/>
    </row>
    <row r="50" spans="2:20">
      <c r="B50" s="207" t="s">
        <v>164</v>
      </c>
      <c r="D50" s="207">
        <v>3</v>
      </c>
      <c r="E50" s="309" t="s">
        <v>46</v>
      </c>
      <c r="R50" s="207">
        <v>9</v>
      </c>
      <c r="S50" s="308" t="s">
        <v>23</v>
      </c>
      <c r="T50" s="299"/>
    </row>
    <row r="51" spans="2:20">
      <c r="B51" s="207" t="s">
        <v>186</v>
      </c>
      <c r="E51" s="298"/>
      <c r="R51" s="207">
        <v>10</v>
      </c>
      <c r="S51" s="308" t="s">
        <v>24</v>
      </c>
      <c r="T51" s="299"/>
    </row>
    <row r="52" spans="2:20" ht="15" thickBot="1">
      <c r="B52" s="310" t="s">
        <v>187</v>
      </c>
      <c r="E52" s="311"/>
      <c r="F52" s="312"/>
      <c r="G52" s="312"/>
      <c r="H52" s="312"/>
      <c r="I52" s="312"/>
      <c r="J52" s="312"/>
      <c r="K52" s="312"/>
      <c r="L52" s="312"/>
      <c r="M52" s="312"/>
      <c r="N52" s="312"/>
      <c r="O52" s="312"/>
      <c r="P52" s="312"/>
      <c r="Q52" s="312"/>
      <c r="R52" s="312">
        <v>11</v>
      </c>
      <c r="S52" s="313" t="s">
        <v>25</v>
      </c>
      <c r="T52" s="314"/>
    </row>
  </sheetData>
  <mergeCells count="11">
    <mergeCell ref="C3:D3"/>
    <mergeCell ref="L3:N3"/>
    <mergeCell ref="W3:W4"/>
    <mergeCell ref="X3:X4"/>
    <mergeCell ref="O3:T4"/>
    <mergeCell ref="U3:V4"/>
    <mergeCell ref="E4:G4"/>
    <mergeCell ref="H4:I4"/>
    <mergeCell ref="J4:K4"/>
    <mergeCell ref="L4:N4"/>
    <mergeCell ref="E3:K3"/>
  </mergeCells>
  <conditionalFormatting sqref="U5">
    <cfRule type="colorScale" priority="21">
      <colorScale>
        <cfvo type="min"/>
        <cfvo type="percentile" val="50"/>
        <cfvo type="max"/>
        <color rgb="FFF8696B"/>
        <color rgb="FFFFEB84"/>
        <color rgb="FF63BE7B"/>
      </colorScale>
    </cfRule>
  </conditionalFormatting>
  <conditionalFormatting sqref="U8:U32">
    <cfRule type="colorScale" priority="2">
      <colorScale>
        <cfvo type="min"/>
        <cfvo type="percentile" val="60"/>
        <cfvo type="max"/>
        <color rgb="FFF8696B"/>
        <color rgb="FFFFEB84"/>
        <color rgb="FF63BE7B"/>
      </colorScale>
    </cfRule>
    <cfRule type="colorScale" priority="3">
      <colorScale>
        <cfvo type="min"/>
        <cfvo type="percentile" val="50"/>
        <cfvo type="max"/>
        <color rgb="FFF8696B"/>
        <color rgb="FFFFEB84"/>
        <color rgb="FF63BE7B"/>
      </colorScale>
    </cfRule>
  </conditionalFormatting>
  <conditionalFormatting sqref="U8:U32">
    <cfRule type="colorScale" priority="4">
      <colorScale>
        <cfvo type="min"/>
        <cfvo type="percentile" val="50"/>
        <cfvo type="max"/>
        <color rgb="FFF8696B"/>
        <color rgb="FFFFEB84"/>
        <color rgb="FF63BE7B"/>
      </colorScale>
    </cfRule>
  </conditionalFormatting>
  <conditionalFormatting sqref="X8:X32">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D05ED-FE1F-4988-A847-78A5EFEDD335}">
  <sheetPr>
    <tabColor rgb="FF99FF99"/>
  </sheetPr>
  <dimension ref="A1:M34"/>
  <sheetViews>
    <sheetView workbookViewId="0"/>
  </sheetViews>
  <sheetFormatPr defaultRowHeight="15"/>
  <cols>
    <col min="1" max="1" width="6.28515625" customWidth="1"/>
    <col min="2" max="2" width="40.42578125" customWidth="1"/>
    <col min="3" max="3" width="16" customWidth="1"/>
  </cols>
  <sheetData>
    <row r="1" spans="1:4" ht="21">
      <c r="A1" s="118" t="s">
        <v>230</v>
      </c>
    </row>
    <row r="2" spans="1:4">
      <c r="A2" s="93"/>
    </row>
    <row r="3" spans="1:4">
      <c r="A3" s="96" t="s">
        <v>61</v>
      </c>
      <c r="B3" s="87" t="s">
        <v>112</v>
      </c>
      <c r="C3" s="95" t="s">
        <v>245</v>
      </c>
      <c r="D3" s="96" t="s">
        <v>53</v>
      </c>
    </row>
    <row r="4" spans="1:4">
      <c r="A4" s="94">
        <f>+Scoring!A30</f>
        <v>23</v>
      </c>
      <c r="B4" s="3" t="str">
        <f>+Scoring!B30</f>
        <v>RNG Full Potential by 2050</v>
      </c>
      <c r="C4" s="119">
        <f>+Data!J26/1000000</f>
        <v>22.617000000000001</v>
      </c>
      <c r="D4" s="94">
        <v>1</v>
      </c>
    </row>
    <row r="5" spans="1:4">
      <c r="A5" s="94">
        <f>+Scoring!A15</f>
        <v>8</v>
      </c>
      <c r="B5" s="3" t="str">
        <f>+Scoring!B15</f>
        <v>Wz in Existing Com by 2040</v>
      </c>
      <c r="C5" s="119">
        <f>+Data!J11/1000000</f>
        <v>21.128</v>
      </c>
      <c r="D5" s="94">
        <v>2</v>
      </c>
    </row>
    <row r="6" spans="1:4">
      <c r="A6" s="94">
        <f>+Scoring!A14</f>
        <v>7</v>
      </c>
      <c r="B6" s="3" t="str">
        <f>+Scoring!B14</f>
        <v>Wz in Existing Res by 2040</v>
      </c>
      <c r="C6" s="119">
        <f>+Data!J10/1000000</f>
        <v>19.577999999999999</v>
      </c>
      <c r="D6" s="94">
        <v>3</v>
      </c>
    </row>
    <row r="7" spans="1:4">
      <c r="A7" s="94">
        <f>+Scoring!A29</f>
        <v>22</v>
      </c>
      <c r="B7" s="3" t="str">
        <f>+Scoring!B29</f>
        <v>Ind RH2 70% by 2050</v>
      </c>
      <c r="C7" s="119">
        <f>+Data!J25/1000000</f>
        <v>18.863</v>
      </c>
      <c r="D7" s="94">
        <v>4</v>
      </c>
    </row>
    <row r="8" spans="1:4">
      <c r="A8" s="94">
        <f>+Scoring!A20</f>
        <v>13</v>
      </c>
      <c r="B8" s="3" t="str">
        <f>+Scoring!B20</f>
        <v>Non-CPP Ind EE 50% by 2050</v>
      </c>
      <c r="C8" s="119">
        <f>+Data!J16/1000000</f>
        <v>13.621</v>
      </c>
      <c r="D8" s="94">
        <v>5</v>
      </c>
    </row>
    <row r="9" spans="1:4">
      <c r="A9" s="94">
        <f>+Scoring!A21</f>
        <v>14</v>
      </c>
      <c r="B9" s="3" t="str">
        <f>+Scoring!B21</f>
        <v>MD/HD Zero Emission Plan</v>
      </c>
      <c r="C9" s="119">
        <f>+Data!J17/1000000</f>
        <v>12.337</v>
      </c>
      <c r="D9" s="94">
        <v>6</v>
      </c>
    </row>
    <row r="10" spans="1:4">
      <c r="A10" s="94">
        <f>+Scoring!A11</f>
        <v>4</v>
      </c>
      <c r="B10" s="3" t="str">
        <f>+Scoring!B11</f>
        <v>Com Code Reduction 60% by 2030</v>
      </c>
      <c r="C10" s="119">
        <f>+Data!J7/1000000</f>
        <v>11.750999999999999</v>
      </c>
      <c r="D10" s="94">
        <v>7</v>
      </c>
    </row>
    <row r="11" spans="1:4">
      <c r="A11" s="94">
        <f>+Scoring!A10</f>
        <v>3</v>
      </c>
      <c r="B11" s="3" t="str">
        <f>+Scoring!B10</f>
        <v>Res Code Reduction 60% by 2030</v>
      </c>
      <c r="C11" s="119">
        <f>+Data!J6/1000000</f>
        <v>8.0440000000000005</v>
      </c>
      <c r="D11" s="94">
        <v>8</v>
      </c>
    </row>
    <row r="12" spans="1:4">
      <c r="A12" s="94">
        <f>+Scoring!A31</f>
        <v>24</v>
      </c>
      <c r="B12" s="3" t="str">
        <f>+Scoring!B31</f>
        <v>RH2 Injection 15% by 2035</v>
      </c>
      <c r="C12" s="119">
        <f>+Data!J27/1000000</f>
        <v>6.7629999999999999</v>
      </c>
      <c r="D12" s="94">
        <v>9</v>
      </c>
    </row>
    <row r="13" spans="1:4">
      <c r="A13" s="94">
        <f>+Scoring!A24</f>
        <v>17</v>
      </c>
      <c r="B13" s="3" t="str">
        <f>+Scoring!B24</f>
        <v>Increase Amtrak Ridership</v>
      </c>
      <c r="C13" s="119">
        <f>+Data!J20/1000000</f>
        <v>5.4880000000000004</v>
      </c>
      <c r="D13" s="94">
        <v>10</v>
      </c>
    </row>
    <row r="14" spans="1:4">
      <c r="A14" s="94">
        <f>+Scoring!A25</f>
        <v>18</v>
      </c>
      <c r="B14" s="3" t="str">
        <f>+Scoring!B25</f>
        <v>Carshare Increases by 2035</v>
      </c>
      <c r="C14" s="119">
        <f>+Data!J21/1000000</f>
        <v>5.0339999999999998</v>
      </c>
      <c r="D14" s="94">
        <v>11</v>
      </c>
    </row>
    <row r="15" spans="1:4">
      <c r="A15" s="94">
        <f>+Scoring!A17</f>
        <v>10</v>
      </c>
      <c r="B15" s="3" t="str">
        <f>+Scoring!B17</f>
        <v>Existing Res buildings 100% HPWH by 2043</v>
      </c>
      <c r="C15" s="119">
        <f>+Data!J13/1000000</f>
        <v>4.47</v>
      </c>
      <c r="D15" s="94">
        <v>12</v>
      </c>
    </row>
    <row r="16" spans="1:4">
      <c r="A16" s="94">
        <f>+Scoring!A12</f>
        <v>5</v>
      </c>
      <c r="B16" s="3" t="str">
        <f>+Scoring!B12</f>
        <v>100% Elec HP &amp; WH in New Res by 2025</v>
      </c>
      <c r="C16" s="119">
        <f>+Data!J8/1000000</f>
        <v>4.2690000000000001</v>
      </c>
      <c r="D16" s="94">
        <v>13</v>
      </c>
    </row>
    <row r="17" spans="1:4">
      <c r="A17" s="94">
        <f>+Scoring!A23</f>
        <v>16</v>
      </c>
      <c r="B17" s="3" t="str">
        <f>+Scoring!B23</f>
        <v>10% Micro-mobility by 2035</v>
      </c>
      <c r="C17" s="119">
        <f>+Data!J19/1000000</f>
        <v>3.6070000000000002</v>
      </c>
      <c r="D17" s="94">
        <v>14</v>
      </c>
    </row>
    <row r="18" spans="1:4">
      <c r="A18" s="94">
        <f>+Scoring!A32</f>
        <v>25</v>
      </c>
      <c r="B18" s="3" t="str">
        <f>+Scoring!B32</f>
        <v>Home Fuel Cells 5% by 2030</v>
      </c>
      <c r="C18" s="119">
        <f>+Data!J28/1000000</f>
        <v>3.4089999999999998</v>
      </c>
      <c r="D18" s="94">
        <v>15</v>
      </c>
    </row>
    <row r="19" spans="1:4">
      <c r="A19" s="94">
        <f>+Scoring!A18</f>
        <v>11</v>
      </c>
      <c r="B19" s="3" t="str">
        <f>+Scoring!B18</f>
        <v>Existing Com buildings 100% HP by 2043</v>
      </c>
      <c r="C19" s="119">
        <f>+Data!J14/1000000</f>
        <v>2.8130000000000002</v>
      </c>
      <c r="D19" s="94">
        <v>16</v>
      </c>
    </row>
    <row r="20" spans="1:4">
      <c r="A20" s="94">
        <f>+Scoring!A16</f>
        <v>9</v>
      </c>
      <c r="B20" s="3" t="str">
        <f>+Scoring!B16</f>
        <v>Existing Res buildings 100% HP by 2043</v>
      </c>
      <c r="C20" s="119">
        <f>+Data!J12/1000000</f>
        <v>2.74</v>
      </c>
      <c r="D20" s="94">
        <v>17</v>
      </c>
    </row>
    <row r="21" spans="1:4">
      <c r="A21" s="94">
        <f>+Scoring!A28</f>
        <v>21</v>
      </c>
      <c r="B21" s="3" t="str">
        <f>+Scoring!B28</f>
        <v>Food Waste Program</v>
      </c>
      <c r="C21" s="119">
        <f>+Data!J24/1000000</f>
        <v>2.5720000000000001</v>
      </c>
      <c r="D21" s="94">
        <v>18</v>
      </c>
    </row>
    <row r="22" spans="1:4">
      <c r="A22" s="94">
        <f>+Scoring!A27</f>
        <v>20</v>
      </c>
      <c r="B22" s="3" t="str">
        <f>+Scoring!B27</f>
        <v>Water Systems EE 20% by 2035</v>
      </c>
      <c r="C22" s="119">
        <f>+Data!J23/1000000</f>
        <v>2.286</v>
      </c>
      <c r="D22" s="94">
        <v>19</v>
      </c>
    </row>
    <row r="23" spans="1:4">
      <c r="A23" s="94">
        <f>+Scoring!A26</f>
        <v>19</v>
      </c>
      <c r="B23" s="3" t="str">
        <f>+Scoring!B26</f>
        <v>Congestion Pricing</v>
      </c>
      <c r="C23" s="119">
        <f>+Data!J22/1000000</f>
        <v>2.073</v>
      </c>
      <c r="D23" s="94">
        <v>20</v>
      </c>
    </row>
    <row r="24" spans="1:4">
      <c r="A24" s="94">
        <f>+Scoring!A8</f>
        <v>1</v>
      </c>
      <c r="B24" s="3" t="str">
        <f>+Scoring!B8</f>
        <v>Reduced Res Floor Area</v>
      </c>
      <c r="C24" s="119">
        <f>+Data!J4/1000000</f>
        <v>1.718</v>
      </c>
      <c r="D24" s="94">
        <v>21</v>
      </c>
    </row>
    <row r="25" spans="1:4">
      <c r="A25" s="94">
        <f>+Scoring!A9</f>
        <v>2</v>
      </c>
      <c r="B25" s="3" t="str">
        <f>+Scoring!B9</f>
        <v>Higher Urban Res Density</v>
      </c>
      <c r="C25" s="119">
        <f>+Data!J5/1000000</f>
        <v>1.3149999999999999</v>
      </c>
      <c r="D25" s="94">
        <v>22</v>
      </c>
    </row>
    <row r="26" spans="1:4">
      <c r="A26" s="94">
        <f>+Scoring!A13</f>
        <v>6</v>
      </c>
      <c r="B26" s="3" t="str">
        <f>+Scoring!B13</f>
        <v>100% Elec HP &amp; 50% WH in New Com by 2025</v>
      </c>
      <c r="C26" s="119">
        <f>+Data!J9/1000000</f>
        <v>1.123</v>
      </c>
      <c r="D26" s="94">
        <v>23</v>
      </c>
    </row>
    <row r="27" spans="1:4">
      <c r="A27" s="94">
        <f>+Scoring!A19</f>
        <v>12</v>
      </c>
      <c r="B27" s="3" t="str">
        <f>+Scoring!B19</f>
        <v>Existing Com buildings 100% HPWH by 2043</v>
      </c>
      <c r="C27" s="119">
        <f>+Data!J15/1000000</f>
        <v>0.61699999999999999</v>
      </c>
      <c r="D27" s="94">
        <v>24</v>
      </c>
    </row>
    <row r="28" spans="1:4">
      <c r="A28" s="94">
        <f>+Scoring!A22</f>
        <v>15</v>
      </c>
      <c r="B28" s="3" t="str">
        <f>+Scoring!B22</f>
        <v>10% Mode Shift MD to LD</v>
      </c>
      <c r="C28" s="119">
        <f>+Data!J18/1000000</f>
        <v>0.58799999999999997</v>
      </c>
      <c r="D28" s="94">
        <v>25</v>
      </c>
    </row>
    <row r="34" spans="13:13">
      <c r="M34" t="s">
        <v>265</v>
      </c>
    </row>
  </sheetData>
  <sortState xmlns:xlrd2="http://schemas.microsoft.com/office/spreadsheetml/2017/richdata2" ref="A4:C28">
    <sortCondition descending="1" ref="C4:C28"/>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D1CF-19EA-4E16-8B32-4FBA35F5695B}">
  <sheetPr>
    <tabColor rgb="FF99FF99"/>
  </sheetPr>
  <dimension ref="A1:D29"/>
  <sheetViews>
    <sheetView workbookViewId="0"/>
  </sheetViews>
  <sheetFormatPr defaultRowHeight="15"/>
  <cols>
    <col min="1" max="1" width="5.28515625" style="93" customWidth="1"/>
    <col min="2" max="2" width="40.42578125" customWidth="1"/>
    <col min="3" max="3" width="15.5703125" customWidth="1"/>
  </cols>
  <sheetData>
    <row r="1" spans="1:4" ht="21">
      <c r="A1" s="118" t="s">
        <v>239</v>
      </c>
    </row>
    <row r="3" spans="1:4">
      <c r="A3" s="96" t="s">
        <v>61</v>
      </c>
      <c r="B3" s="87" t="s">
        <v>112</v>
      </c>
      <c r="C3" s="95" t="s">
        <v>241</v>
      </c>
      <c r="D3" s="96" t="s">
        <v>53</v>
      </c>
    </row>
    <row r="4" spans="1:4">
      <c r="A4" s="94">
        <f>+Scoring!A9</f>
        <v>2</v>
      </c>
      <c r="B4" s="3" t="str">
        <f>+Scoring!B9</f>
        <v>Higher Urban Res Density</v>
      </c>
      <c r="C4" s="62">
        <f>+Data!K5</f>
        <v>-15898.511732319392</v>
      </c>
      <c r="D4" s="94">
        <v>1</v>
      </c>
    </row>
    <row r="5" spans="1:4">
      <c r="A5" s="94">
        <f>+Scoring!A28</f>
        <v>21</v>
      </c>
      <c r="B5" s="3" t="str">
        <f>+Scoring!B28</f>
        <v>Food Waste Program</v>
      </c>
      <c r="C5" s="62">
        <f>+Data!K24</f>
        <v>-9393</v>
      </c>
      <c r="D5" s="94">
        <v>2</v>
      </c>
    </row>
    <row r="6" spans="1:4">
      <c r="A6" s="94">
        <f>+Scoring!A8</f>
        <v>1</v>
      </c>
      <c r="B6" s="3" t="str">
        <f>+Scoring!B8</f>
        <v>Reduced Res Floor Area</v>
      </c>
      <c r="C6" s="62">
        <f>+Data!K4</f>
        <v>-4261.3020407450522</v>
      </c>
      <c r="D6" s="94">
        <v>3</v>
      </c>
    </row>
    <row r="7" spans="1:4">
      <c r="A7" s="94">
        <f>+Scoring!A22</f>
        <v>15</v>
      </c>
      <c r="B7" s="3" t="str">
        <f>+Scoring!B22</f>
        <v>10% Mode Shift MD to LD</v>
      </c>
      <c r="C7" s="62">
        <f>+Data!K18</f>
        <v>-1355.6587329931972</v>
      </c>
      <c r="D7" s="94">
        <v>4</v>
      </c>
    </row>
    <row r="8" spans="1:4">
      <c r="A8" s="94">
        <f>+Scoring!A21</f>
        <v>14</v>
      </c>
      <c r="B8" s="3" t="str">
        <f>+Scoring!B21</f>
        <v>MD/HD Zero Emission Plan</v>
      </c>
      <c r="C8" s="62">
        <f>+Data!K17</f>
        <v>-843.9458075707222</v>
      </c>
      <c r="D8" s="94">
        <v>5</v>
      </c>
    </row>
    <row r="9" spans="1:4">
      <c r="A9" s="94">
        <f>+Scoring!A23</f>
        <v>16</v>
      </c>
      <c r="B9" s="3" t="str">
        <f>+Scoring!B23</f>
        <v>10% Micro-mobility by 2035</v>
      </c>
      <c r="C9" s="62">
        <f>+Data!K19</f>
        <v>-805.23519406709181</v>
      </c>
      <c r="D9" s="94">
        <v>6</v>
      </c>
    </row>
    <row r="10" spans="1:4">
      <c r="A10" s="94">
        <f>+Scoring!A24</f>
        <v>17</v>
      </c>
      <c r="B10" s="3" t="str">
        <f>+Scoring!B24</f>
        <v>Increase Amtrak Ridership</v>
      </c>
      <c r="C10" s="62">
        <f>+Data!K20</f>
        <v>-531.41356377551017</v>
      </c>
      <c r="D10" s="94">
        <v>7</v>
      </c>
    </row>
    <row r="11" spans="1:4">
      <c r="A11" s="94">
        <f>+Scoring!A25</f>
        <v>18</v>
      </c>
      <c r="B11" s="3" t="str">
        <f>+Scoring!B25</f>
        <v>Carshare Increases by 2035</v>
      </c>
      <c r="C11" s="62">
        <f>+Data!K21</f>
        <v>-379.57311620977356</v>
      </c>
      <c r="D11" s="94">
        <v>8</v>
      </c>
    </row>
    <row r="12" spans="1:4">
      <c r="A12" s="94">
        <f>+Scoring!A26</f>
        <v>19</v>
      </c>
      <c r="B12" s="3" t="str">
        <f>+Scoring!B26</f>
        <v>Congestion Pricing</v>
      </c>
      <c r="C12" s="62">
        <f>+Data!K22</f>
        <v>-303.2991490593343</v>
      </c>
      <c r="D12" s="94">
        <v>9</v>
      </c>
    </row>
    <row r="13" spans="1:4">
      <c r="A13" s="94">
        <f>+Scoring!A20</f>
        <v>13</v>
      </c>
      <c r="B13" s="3" t="str">
        <f>+Scoring!B20</f>
        <v>Non-CPP Ind EE 50% by 2050</v>
      </c>
      <c r="C13" s="62">
        <f>+Data!K16</f>
        <v>-115.31074678804787</v>
      </c>
      <c r="D13" s="94">
        <v>10</v>
      </c>
    </row>
    <row r="14" spans="1:4">
      <c r="A14" s="94">
        <f>+Scoring!A10</f>
        <v>3</v>
      </c>
      <c r="B14" s="3" t="str">
        <f>+Scoring!B10</f>
        <v>Res Code Reduction 60% by 2030</v>
      </c>
      <c r="C14" s="62">
        <f>+Data!K6</f>
        <v>-62.072545499751371</v>
      </c>
      <c r="D14" s="94">
        <v>11</v>
      </c>
    </row>
    <row r="15" spans="1:4">
      <c r="A15" s="94">
        <f>+Scoring!A17</f>
        <v>10</v>
      </c>
      <c r="B15" s="3" t="str">
        <f>+Scoring!B17</f>
        <v>Existing Res buildings 100% HPWH by 2043</v>
      </c>
      <c r="C15" s="62">
        <f>+Data!K13</f>
        <v>-56.809596420581656</v>
      </c>
      <c r="D15" s="94">
        <v>12</v>
      </c>
    </row>
    <row r="16" spans="1:4">
      <c r="A16" s="94">
        <f>+Scoring!A18</f>
        <v>11</v>
      </c>
      <c r="B16" s="3" t="str">
        <f>+Scoring!B18</f>
        <v>Existing Com buildings 100% HP by 2043</v>
      </c>
      <c r="C16" s="62">
        <f>+Data!K14</f>
        <v>-49.928223960184859</v>
      </c>
      <c r="D16" s="94">
        <v>13</v>
      </c>
    </row>
    <row r="17" spans="1:4">
      <c r="A17" s="94">
        <f>+Scoring!A32</f>
        <v>25</v>
      </c>
      <c r="B17" s="3" t="str">
        <f>+Scoring!B32</f>
        <v>Home Fuel Cells 5% by 2030</v>
      </c>
      <c r="C17" s="62">
        <f>+Data!K28</f>
        <v>-20.508572308594896</v>
      </c>
      <c r="D17" s="94">
        <v>14</v>
      </c>
    </row>
    <row r="18" spans="1:4">
      <c r="A18" s="94">
        <f>+Scoring!A27</f>
        <v>20</v>
      </c>
      <c r="B18" s="3" t="str">
        <f>+Scoring!B27</f>
        <v>Water Systems EE 20% by 2035</v>
      </c>
      <c r="C18" s="62">
        <f>+Data!K23</f>
        <v>0.73046281714785655</v>
      </c>
      <c r="D18" s="94">
        <v>15</v>
      </c>
    </row>
    <row r="19" spans="1:4">
      <c r="A19" s="94">
        <f>+Scoring!A29</f>
        <v>22</v>
      </c>
      <c r="B19" s="3" t="str">
        <f>+Scoring!B29</f>
        <v>Ind RH2 70% by 2050</v>
      </c>
      <c r="C19" s="62">
        <f>+Data!K25</f>
        <v>10.548478343847744</v>
      </c>
      <c r="D19" s="94">
        <v>16</v>
      </c>
    </row>
    <row r="20" spans="1:4">
      <c r="A20" s="94">
        <f>+Scoring!A31</f>
        <v>24</v>
      </c>
      <c r="B20" s="3" t="str">
        <f>+Scoring!B31</f>
        <v>RH2 Injection 15% by 2035</v>
      </c>
      <c r="C20" s="62">
        <f>+Data!K27</f>
        <v>67.37539760461334</v>
      </c>
      <c r="D20" s="94">
        <v>17</v>
      </c>
    </row>
    <row r="21" spans="1:4">
      <c r="A21" s="94">
        <f>+Scoring!A30</f>
        <v>23</v>
      </c>
      <c r="B21" s="3" t="str">
        <f>+Scoring!B30</f>
        <v>RNG Full Potential by 2050</v>
      </c>
      <c r="C21" s="62">
        <f>+Data!K26</f>
        <v>71.996275544944069</v>
      </c>
      <c r="D21" s="94">
        <v>18</v>
      </c>
    </row>
    <row r="22" spans="1:4">
      <c r="A22" s="94">
        <f>+Scoring!A12</f>
        <v>5</v>
      </c>
      <c r="B22" s="3" t="str">
        <f>+Scoring!B12</f>
        <v>100% Elec HP &amp; WH in New Res by 2025</v>
      </c>
      <c r="C22" s="62">
        <f>+Data!K8</f>
        <v>146.08912157413914</v>
      </c>
      <c r="D22" s="94">
        <v>19</v>
      </c>
    </row>
    <row r="23" spans="1:4">
      <c r="A23" s="94">
        <f>+Scoring!A11</f>
        <v>4</v>
      </c>
      <c r="B23" s="3" t="str">
        <f>+Scoring!B11</f>
        <v>Com Code Reduction 60% by 2030</v>
      </c>
      <c r="C23" s="62">
        <f>+Data!K7</f>
        <v>200.24897021530083</v>
      </c>
      <c r="D23" s="94">
        <v>20</v>
      </c>
    </row>
    <row r="24" spans="1:4">
      <c r="A24" s="94">
        <f>+Scoring!A13</f>
        <v>6</v>
      </c>
      <c r="B24" s="3" t="str">
        <f>+Scoring!B13</f>
        <v>100% Elec HP &amp; 50% WH in New Com by 2025</v>
      </c>
      <c r="C24" s="62">
        <f>+Data!K9</f>
        <v>235.61305181838685</v>
      </c>
      <c r="D24" s="94">
        <v>21</v>
      </c>
    </row>
    <row r="25" spans="1:4">
      <c r="A25" s="94">
        <f>+Scoring!A15</f>
        <v>8</v>
      </c>
      <c r="B25" s="3" t="str">
        <f>+Scoring!B15</f>
        <v>Wz in Existing Com by 2040</v>
      </c>
      <c r="C25" s="62">
        <f>+Data!K11</f>
        <v>449.31254974441498</v>
      </c>
      <c r="D25" s="94">
        <v>22</v>
      </c>
    </row>
    <row r="26" spans="1:4">
      <c r="A26" s="94">
        <f>+Scoring!A14</f>
        <v>7</v>
      </c>
      <c r="B26" s="3" t="str">
        <f>+Scoring!B14</f>
        <v>Wz in Existing Res by 2040</v>
      </c>
      <c r="C26" s="62">
        <f>+Data!K10</f>
        <v>712.55024512207581</v>
      </c>
      <c r="D26" s="94">
        <v>23</v>
      </c>
    </row>
    <row r="27" spans="1:4">
      <c r="A27" s="94">
        <f>+Scoring!A19</f>
        <v>12</v>
      </c>
      <c r="B27" s="3" t="str">
        <f>+Scoring!B19</f>
        <v>Existing Com buildings 100% HPWH by 2043</v>
      </c>
      <c r="C27" s="62">
        <f>+Data!K15</f>
        <v>1132.8828330632091</v>
      </c>
      <c r="D27" s="94">
        <v>24</v>
      </c>
    </row>
    <row r="28" spans="1:4">
      <c r="A28" s="94">
        <f>+Scoring!A16</f>
        <v>9</v>
      </c>
      <c r="B28" s="3" t="str">
        <f>+Scoring!B16</f>
        <v>Existing Res buildings 100% HP by 2043</v>
      </c>
      <c r="C28" s="62">
        <f>+Data!K12</f>
        <v>1346.8505653284672</v>
      </c>
      <c r="D28" s="94">
        <v>25</v>
      </c>
    </row>
    <row r="29" spans="1:4">
      <c r="C29" s="78"/>
    </row>
  </sheetData>
  <sortState xmlns:xlrd2="http://schemas.microsoft.com/office/spreadsheetml/2017/richdata2" ref="A4:C28">
    <sortCondition ref="C4:C28"/>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8E3B9-4D6B-471E-B103-E5DE8338BFAD}">
  <sheetPr>
    <tabColor rgb="FF99FF99"/>
  </sheetPr>
  <dimension ref="A1:D28"/>
  <sheetViews>
    <sheetView workbookViewId="0"/>
  </sheetViews>
  <sheetFormatPr defaultRowHeight="15"/>
  <cols>
    <col min="1" max="1" width="7.42578125" customWidth="1"/>
    <col min="2" max="2" width="42.140625" customWidth="1"/>
  </cols>
  <sheetData>
    <row r="1" spans="1:4" ht="21">
      <c r="A1" s="24" t="s">
        <v>161</v>
      </c>
    </row>
    <row r="3" spans="1:4">
      <c r="A3" s="89" t="s">
        <v>61</v>
      </c>
      <c r="B3" s="87" t="s">
        <v>112</v>
      </c>
      <c r="C3" s="89" t="s">
        <v>55</v>
      </c>
      <c r="D3" s="96" t="s">
        <v>53</v>
      </c>
    </row>
    <row r="4" spans="1:4">
      <c r="A4" s="94">
        <f>+Scoring!A14</f>
        <v>7</v>
      </c>
      <c r="B4" s="3" t="str">
        <f>+Scoring!B14</f>
        <v>Wz in Existing Res by 2040</v>
      </c>
      <c r="C4" s="120">
        <f>+Scoring!U14</f>
        <v>82.539999999999992</v>
      </c>
      <c r="D4" s="26">
        <v>1</v>
      </c>
    </row>
    <row r="5" spans="1:4">
      <c r="A5" s="94">
        <f>+Scoring!A15</f>
        <v>8</v>
      </c>
      <c r="B5" s="3" t="str">
        <f>+Scoring!B15</f>
        <v>Wz in Existing Com by 2040</v>
      </c>
      <c r="C5" s="120">
        <f>+Scoring!U15</f>
        <v>70.3</v>
      </c>
      <c r="D5" s="26">
        <v>2</v>
      </c>
    </row>
    <row r="6" spans="1:4">
      <c r="A6" s="94">
        <f>+Scoring!A10</f>
        <v>3</v>
      </c>
      <c r="B6" s="3" t="str">
        <f>+Scoring!B10</f>
        <v>Res Code Reduction 60% by 2030</v>
      </c>
      <c r="C6" s="120">
        <f>+Scoring!U10</f>
        <v>63.739999999999995</v>
      </c>
      <c r="D6" s="26">
        <v>3</v>
      </c>
    </row>
    <row r="7" spans="1:4">
      <c r="A7" s="94">
        <f>+Scoring!A16</f>
        <v>9</v>
      </c>
      <c r="B7" s="3" t="str">
        <f>+Scoring!B16</f>
        <v>Existing Res buildings 100% HP by 2043</v>
      </c>
      <c r="C7" s="120">
        <f>+Scoring!U16</f>
        <v>63.33</v>
      </c>
      <c r="D7" s="26">
        <v>5</v>
      </c>
    </row>
    <row r="8" spans="1:4">
      <c r="A8" s="94">
        <f>+Scoring!A11</f>
        <v>4</v>
      </c>
      <c r="B8" s="3" t="str">
        <f>+Scoring!B11</f>
        <v>Com Code Reduction 60% by 2030</v>
      </c>
      <c r="C8" s="120">
        <f>+Scoring!U11</f>
        <v>62.01</v>
      </c>
      <c r="D8" s="26">
        <v>7</v>
      </c>
    </row>
    <row r="9" spans="1:4">
      <c r="A9" s="94">
        <f>+Scoring!A12</f>
        <v>5</v>
      </c>
      <c r="B9" s="3" t="str">
        <f>+Scoring!B12</f>
        <v>100% Elec HP &amp; WH in New Res by 2025</v>
      </c>
      <c r="C9" s="120">
        <f>+Scoring!U12</f>
        <v>61.25</v>
      </c>
      <c r="D9" s="26">
        <v>8</v>
      </c>
    </row>
    <row r="10" spans="1:4">
      <c r="A10" s="94">
        <f>+Scoring!A30</f>
        <v>23</v>
      </c>
      <c r="B10" s="3" t="str">
        <f>+Scoring!B30</f>
        <v>RNG Full Potential by 2050</v>
      </c>
      <c r="C10" s="120">
        <f>+Scoring!U30</f>
        <v>59.489999999999995</v>
      </c>
      <c r="D10" s="26">
        <v>6</v>
      </c>
    </row>
    <row r="11" spans="1:4">
      <c r="A11" s="94">
        <f>+Scoring!A29</f>
        <v>22</v>
      </c>
      <c r="B11" s="3" t="str">
        <f>+Scoring!B29</f>
        <v>Ind RH2 70% by 2050</v>
      </c>
      <c r="C11" s="120">
        <f>+Scoring!U29</f>
        <v>57.8</v>
      </c>
      <c r="D11" s="26">
        <v>4</v>
      </c>
    </row>
    <row r="12" spans="1:4">
      <c r="A12" s="94">
        <f>+Scoring!A28</f>
        <v>21</v>
      </c>
      <c r="B12" s="3" t="str">
        <f>+Scoring!B28</f>
        <v>Food Waste Program</v>
      </c>
      <c r="C12" s="120">
        <f>+Scoring!U28</f>
        <v>56.550000000000004</v>
      </c>
      <c r="D12" s="26">
        <v>9</v>
      </c>
    </row>
    <row r="13" spans="1:4">
      <c r="A13" s="94">
        <f>+Scoring!A17</f>
        <v>10</v>
      </c>
      <c r="B13" s="3" t="str">
        <f>+Scoring!B17</f>
        <v>Existing Res buildings 100% HPWH by 2043</v>
      </c>
      <c r="C13" s="120">
        <f>+Scoring!U17</f>
        <v>54.459999999999994</v>
      </c>
      <c r="D13" s="26">
        <v>10</v>
      </c>
    </row>
    <row r="14" spans="1:4">
      <c r="A14" s="94">
        <f>+Scoring!A23</f>
        <v>16</v>
      </c>
      <c r="B14" s="3" t="str">
        <f>+Scoring!B23</f>
        <v>10% Micro-mobility by 2035</v>
      </c>
      <c r="C14" s="120">
        <f>+Scoring!U23</f>
        <v>51.89</v>
      </c>
      <c r="D14" s="26">
        <v>11</v>
      </c>
    </row>
    <row r="15" spans="1:4">
      <c r="A15" s="94">
        <f>+Scoring!A20</f>
        <v>13</v>
      </c>
      <c r="B15" s="3" t="str">
        <f>+Scoring!B20</f>
        <v>Non-CPP Ind EE 50% by 2050</v>
      </c>
      <c r="C15" s="120">
        <f>+Scoring!U20</f>
        <v>50.859999999999992</v>
      </c>
      <c r="D15" s="26">
        <v>12</v>
      </c>
    </row>
    <row r="16" spans="1:4">
      <c r="A16" s="94">
        <f>+Scoring!A18</f>
        <v>11</v>
      </c>
      <c r="B16" s="3" t="str">
        <f>+Scoring!B18</f>
        <v>Existing Com buildings 100% HP by 2043</v>
      </c>
      <c r="C16" s="120">
        <f>+Scoring!U18</f>
        <v>49.11</v>
      </c>
      <c r="D16" s="26">
        <v>13</v>
      </c>
    </row>
    <row r="17" spans="1:4">
      <c r="A17" s="94">
        <f>+Scoring!A26</f>
        <v>19</v>
      </c>
      <c r="B17" s="3" t="str">
        <f>+Scoring!B26</f>
        <v>Congestion Pricing</v>
      </c>
      <c r="C17" s="120">
        <f>+Scoring!U26</f>
        <v>47.93</v>
      </c>
      <c r="D17" s="26">
        <v>14</v>
      </c>
    </row>
    <row r="18" spans="1:4">
      <c r="A18" s="94">
        <f>+Scoring!A9</f>
        <v>2</v>
      </c>
      <c r="B18" s="3" t="str">
        <f>+Scoring!B9</f>
        <v>Higher Urban Res Density</v>
      </c>
      <c r="C18" s="120">
        <f>+Scoring!U9</f>
        <v>46.91</v>
      </c>
      <c r="D18" s="26">
        <v>15</v>
      </c>
    </row>
    <row r="19" spans="1:4">
      <c r="A19" s="94">
        <f>+Scoring!A13</f>
        <v>6</v>
      </c>
      <c r="B19" s="3" t="str">
        <f>+Scoring!B13</f>
        <v>100% Elec HP &amp; 50% WH in New Com by 2025</v>
      </c>
      <c r="C19" s="120">
        <f>+Scoring!U13</f>
        <v>46.319999999999993</v>
      </c>
      <c r="D19" s="26">
        <v>16</v>
      </c>
    </row>
    <row r="20" spans="1:4">
      <c r="A20" s="94">
        <f>+Scoring!A24</f>
        <v>17</v>
      </c>
      <c r="B20" s="3" t="str">
        <f>+Scoring!B24</f>
        <v>Increase Amtrak Ridership</v>
      </c>
      <c r="C20" s="120">
        <f>+Scoring!U24</f>
        <v>44.690000000000005</v>
      </c>
      <c r="D20" s="26">
        <v>17</v>
      </c>
    </row>
    <row r="21" spans="1:4">
      <c r="A21" s="94">
        <f>+Scoring!A32</f>
        <v>25</v>
      </c>
      <c r="B21" s="3" t="str">
        <f>+Scoring!B32</f>
        <v>Home Fuel Cells 5% by 2030</v>
      </c>
      <c r="C21" s="120">
        <f>+Scoring!U32</f>
        <v>44.660000000000004</v>
      </c>
      <c r="D21" s="26">
        <v>18</v>
      </c>
    </row>
    <row r="22" spans="1:4">
      <c r="A22" s="94">
        <f>+Scoring!A25</f>
        <v>18</v>
      </c>
      <c r="B22" s="3" t="str">
        <f>+Scoring!B25</f>
        <v>Carshare Increases by 2035</v>
      </c>
      <c r="C22" s="120">
        <f>+Scoring!U25</f>
        <v>43.67</v>
      </c>
      <c r="D22" s="26">
        <v>19</v>
      </c>
    </row>
    <row r="23" spans="1:4">
      <c r="A23" s="94">
        <f>+Scoring!A21</f>
        <v>14</v>
      </c>
      <c r="B23" s="3" t="str">
        <f>+Scoring!B21</f>
        <v>MD/HD Zero Emission Plan</v>
      </c>
      <c r="C23" s="120">
        <f>+Scoring!U21</f>
        <v>42.599999999999994</v>
      </c>
      <c r="D23" s="26">
        <v>21</v>
      </c>
    </row>
    <row r="24" spans="1:4">
      <c r="A24" s="94">
        <f>+Scoring!A31</f>
        <v>24</v>
      </c>
      <c r="B24" s="3" t="str">
        <f>+Scoring!B31</f>
        <v>RH2 Injection 15% by 2035</v>
      </c>
      <c r="C24" s="120">
        <f>+Scoring!U31</f>
        <v>41.28</v>
      </c>
      <c r="D24" s="26">
        <v>20</v>
      </c>
    </row>
    <row r="25" spans="1:4">
      <c r="A25" s="94">
        <f>+Scoring!A8</f>
        <v>1</v>
      </c>
      <c r="B25" s="3" t="str">
        <f>+Scoring!B8</f>
        <v>Reduced Res Floor Area</v>
      </c>
      <c r="C25" s="120">
        <f>+Scoring!U8</f>
        <v>40.06</v>
      </c>
      <c r="D25" s="26">
        <v>22</v>
      </c>
    </row>
    <row r="26" spans="1:4">
      <c r="A26" s="94">
        <f>+Scoring!A19</f>
        <v>12</v>
      </c>
      <c r="B26" s="3" t="str">
        <f>+Scoring!B19</f>
        <v>Existing Com buildings 100% HPWH by 2043</v>
      </c>
      <c r="C26" s="120">
        <f>+Scoring!U19</f>
        <v>37.950000000000003</v>
      </c>
      <c r="D26" s="26">
        <v>23</v>
      </c>
    </row>
    <row r="27" spans="1:4">
      <c r="A27" s="94">
        <f>+Scoring!A27</f>
        <v>20</v>
      </c>
      <c r="B27" s="3" t="str">
        <f>+Scoring!B27</f>
        <v>Water Systems EE 20% by 2035</v>
      </c>
      <c r="C27" s="120">
        <f>+Scoring!U27</f>
        <v>36.339999999999996</v>
      </c>
      <c r="D27" s="26">
        <v>24</v>
      </c>
    </row>
    <row r="28" spans="1:4">
      <c r="A28" s="94">
        <f>+Scoring!A22</f>
        <v>15</v>
      </c>
      <c r="B28" s="3" t="str">
        <f>+Scoring!B22</f>
        <v>10% Mode Shift MD to LD</v>
      </c>
      <c r="C28" s="120">
        <f>+Scoring!U22</f>
        <v>33.71</v>
      </c>
      <c r="D28" s="26">
        <v>25</v>
      </c>
    </row>
  </sheetData>
  <sortState xmlns:xlrd2="http://schemas.microsoft.com/office/spreadsheetml/2017/richdata2" ref="A4:D28">
    <sortCondition descending="1" ref="C4:C28"/>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158C2-FE5D-4AE7-AE81-300F75EF1AAD}">
  <sheetPr>
    <tabColor rgb="FF99FF99"/>
  </sheetPr>
  <dimension ref="A1:D36"/>
  <sheetViews>
    <sheetView workbookViewId="0">
      <selection activeCell="B36" sqref="B36"/>
    </sheetView>
  </sheetViews>
  <sheetFormatPr defaultRowHeight="15"/>
  <cols>
    <col min="1" max="1" width="6.28515625" customWidth="1"/>
    <col min="2" max="2" width="40.42578125" customWidth="1"/>
    <col min="3" max="3" width="11.42578125" customWidth="1"/>
    <col min="4" max="4" width="9.7109375" customWidth="1"/>
  </cols>
  <sheetData>
    <row r="1" spans="1:4" ht="21">
      <c r="A1" s="24" t="s">
        <v>231</v>
      </c>
    </row>
    <row r="3" spans="1:4">
      <c r="A3" s="96" t="s">
        <v>61</v>
      </c>
      <c r="B3" s="87" t="s">
        <v>112</v>
      </c>
      <c r="C3" s="133" t="s">
        <v>55</v>
      </c>
      <c r="D3" s="96" t="s">
        <v>53</v>
      </c>
    </row>
    <row r="4" spans="1:4">
      <c r="A4" s="94">
        <f>+Scoring!A16</f>
        <v>9</v>
      </c>
      <c r="B4" s="3" t="str">
        <f>+Scoring!B16</f>
        <v>Existing Res buildings 100% HP by 2043</v>
      </c>
      <c r="C4" s="120">
        <f>((Scoring!Q16*Scoring!$Q$7+Scoring!R16*Scoring!$R$7+Scoring!S16*Scoring!$S$7)*$C$30)*10</f>
        <v>40.81</v>
      </c>
      <c r="D4" s="94">
        <v>1</v>
      </c>
    </row>
    <row r="5" spans="1:4">
      <c r="A5" s="94">
        <f>+Scoring!A14</f>
        <v>7</v>
      </c>
      <c r="B5" s="3" t="str">
        <f>+Scoring!B14</f>
        <v>Wz in Existing Res by 2040</v>
      </c>
      <c r="C5" s="120">
        <f>((Scoring!Q14*Scoring!$Q$7+Scoring!R14*Scoring!$R$7+Scoring!S14*Scoring!$S$7)*$C$30)*10</f>
        <v>39.14</v>
      </c>
      <c r="D5" s="94">
        <v>2</v>
      </c>
    </row>
    <row r="6" spans="1:4">
      <c r="A6" s="94">
        <f>+Scoring!A12</f>
        <v>5</v>
      </c>
      <c r="B6" s="3" t="str">
        <f>+Scoring!B12</f>
        <v>100% Elec HP &amp; WH in New Res by 2025</v>
      </c>
      <c r="C6" s="120">
        <f>((Scoring!Q12*Scoring!$Q$7+Scoring!R12*Scoring!$R$7+Scoring!S12*Scoring!$S$7)*$C$30)*10</f>
        <v>30.630000000000003</v>
      </c>
      <c r="D6" s="94">
        <v>3</v>
      </c>
    </row>
    <row r="7" spans="1:4">
      <c r="A7" s="94">
        <f>+Scoring!A10</f>
        <v>3</v>
      </c>
      <c r="B7" s="3" t="str">
        <f>+Scoring!B10</f>
        <v>Res Code Reduction 60% by 2030</v>
      </c>
      <c r="C7" s="120">
        <f>((Scoring!Q10*Scoring!$Q$7+Scoring!R10*Scoring!$R$7+Scoring!S10*Scoring!$S$7)*$C$30)*10</f>
        <v>26.080000000000002</v>
      </c>
      <c r="D7" s="94">
        <v>4</v>
      </c>
    </row>
    <row r="8" spans="1:4">
      <c r="A8" s="94">
        <f>+Scoring!A13</f>
        <v>6</v>
      </c>
      <c r="B8" s="3" t="str">
        <f>+Scoring!B13</f>
        <v>100% Elec HP &amp; 50% WH in New Com by 2025</v>
      </c>
      <c r="C8" s="120">
        <f>((Scoring!Q13*Scoring!$Q$7+Scoring!R13*Scoring!$R$7+Scoring!S13*Scoring!$S$7)*$C$30)*10</f>
        <v>25.28</v>
      </c>
      <c r="D8" s="94">
        <v>5</v>
      </c>
    </row>
    <row r="9" spans="1:4">
      <c r="A9" s="94">
        <f>+Scoring!A11</f>
        <v>4</v>
      </c>
      <c r="B9" s="3" t="str">
        <f>+Scoring!B11</f>
        <v>Com Code Reduction 60% by 2030</v>
      </c>
      <c r="C9" s="120">
        <f>((Scoring!Q11*Scoring!$Q$7+Scoring!R11*Scoring!$R$7+Scoring!S11*Scoring!$S$7)*$C$30)*10</f>
        <v>24.71</v>
      </c>
      <c r="D9" s="94">
        <v>6</v>
      </c>
    </row>
    <row r="10" spans="1:4">
      <c r="A10" s="94">
        <f>+Scoring!A15</f>
        <v>8</v>
      </c>
      <c r="B10" s="3" t="str">
        <f>+Scoring!B15</f>
        <v>Wz in Existing Com by 2040</v>
      </c>
      <c r="C10" s="120">
        <f>((Scoring!Q15*Scoring!$Q$7+Scoring!R15*Scoring!$R$7+Scoring!S15*Scoring!$S$7)*$C$30)*10</f>
        <v>24</v>
      </c>
      <c r="D10" s="94">
        <v>7</v>
      </c>
    </row>
    <row r="11" spans="1:4">
      <c r="A11" s="94">
        <f>+Scoring!A28</f>
        <v>21</v>
      </c>
      <c r="B11" s="3" t="str">
        <f>+Scoring!B28</f>
        <v>Food Waste Program</v>
      </c>
      <c r="C11" s="120">
        <f>((Scoring!Q28*Scoring!$Q$7+Scoring!R28*Scoring!$R$7+Scoring!S28*Scoring!$S$7)*$C$30)*10</f>
        <v>23.31</v>
      </c>
      <c r="D11" s="94">
        <v>8</v>
      </c>
    </row>
    <row r="12" spans="1:4">
      <c r="A12" s="94">
        <f>+Scoring!A17</f>
        <v>10</v>
      </c>
      <c r="B12" s="3" t="str">
        <f>+Scoring!B17</f>
        <v>Existing Res buildings 100% HPWH by 2043</v>
      </c>
      <c r="C12" s="120">
        <f>((Scoring!Q17*Scoring!$Q$7+Scoring!R17*Scoring!$R$7+Scoring!S17*Scoring!$S$7)*$C$30)*10</f>
        <v>21.9</v>
      </c>
      <c r="D12" s="94">
        <v>9</v>
      </c>
    </row>
    <row r="13" spans="1:4">
      <c r="A13" s="94">
        <f>+Scoring!A19</f>
        <v>12</v>
      </c>
      <c r="B13" s="3" t="str">
        <f>+Scoring!B19</f>
        <v>Existing Com buildings 100% HPWH by 2043</v>
      </c>
      <c r="C13" s="120">
        <f>((Scoring!Q19*Scoring!$Q$7+Scoring!R19*Scoring!$R$7+Scoring!S19*Scoring!$S$7)*$C$30)*10</f>
        <v>21.230000000000004</v>
      </c>
      <c r="D13" s="94">
        <v>10</v>
      </c>
    </row>
    <row r="14" spans="1:4">
      <c r="A14" s="94">
        <f>+Scoring!A18</f>
        <v>11</v>
      </c>
      <c r="B14" s="3" t="str">
        <f>+Scoring!B18</f>
        <v>Existing Com buildings 100% HP by 2043</v>
      </c>
      <c r="C14" s="120">
        <f>((Scoring!Q18*Scoring!$Q$7+Scoring!R18*Scoring!$R$7+Scoring!S18*Scoring!$S$7)*$C$30)*10</f>
        <v>21.21</v>
      </c>
      <c r="D14" s="94">
        <v>11</v>
      </c>
    </row>
    <row r="15" spans="1:4">
      <c r="A15" s="94">
        <f>+Scoring!A26</f>
        <v>19</v>
      </c>
      <c r="B15" s="3" t="str">
        <f>+Scoring!B26</f>
        <v>Congestion Pricing</v>
      </c>
      <c r="C15" s="120">
        <f>((Scoring!Q26*Scoring!$Q$7+Scoring!R26*Scoring!$R$7+Scoring!S26*Scoring!$S$7)*$C$30)*10</f>
        <v>21.21</v>
      </c>
      <c r="D15" s="94">
        <v>12</v>
      </c>
    </row>
    <row r="16" spans="1:4">
      <c r="A16" s="94">
        <f>+Scoring!A23</f>
        <v>16</v>
      </c>
      <c r="B16" s="3" t="str">
        <f>+Scoring!B23</f>
        <v>10% Micro-mobility by 2035</v>
      </c>
      <c r="C16" s="120">
        <f>((Scoring!Q23*Scoring!$Q$7+Scoring!R23*Scoring!$R$7+Scoring!S23*Scoring!$S$7)*$C$30)*10</f>
        <v>20.51</v>
      </c>
      <c r="D16" s="94">
        <v>13</v>
      </c>
    </row>
    <row r="17" spans="1:4">
      <c r="A17" s="94">
        <f>+Scoring!A32</f>
        <v>25</v>
      </c>
      <c r="B17" s="3" t="str">
        <f>+Scoring!B32</f>
        <v>Home Fuel Cells 5% by 2030</v>
      </c>
      <c r="C17" s="120">
        <f>((Scoring!Q32*Scoring!$Q$7+Scoring!R32*Scoring!$R$7+Scoring!S32*Scoring!$S$7)*$C$30)*10</f>
        <v>19.18</v>
      </c>
      <c r="D17" s="94">
        <v>14</v>
      </c>
    </row>
    <row r="18" spans="1:4">
      <c r="A18" s="94">
        <f>+Scoring!A9</f>
        <v>2</v>
      </c>
      <c r="B18" s="3" t="str">
        <f>+Scoring!B9</f>
        <v>Higher Urban Res Density</v>
      </c>
      <c r="C18" s="120">
        <f>((Scoring!Q9*Scoring!$Q$7+Scoring!R9*Scoring!$R$7+Scoring!S9*Scoring!$S$7)*$C$30)*10</f>
        <v>14.93</v>
      </c>
      <c r="D18" s="94">
        <v>15</v>
      </c>
    </row>
    <row r="19" spans="1:4">
      <c r="A19" s="94">
        <f>+Scoring!A20</f>
        <v>13</v>
      </c>
      <c r="B19" s="3" t="str">
        <f>+Scoring!B20</f>
        <v>Non-CPP Ind EE 50% by 2050</v>
      </c>
      <c r="C19" s="120">
        <f>((Scoring!Q20*Scoring!$Q$7+Scoring!R20*Scoring!$R$7+Scoring!S20*Scoring!$S$7)*$C$30)*10</f>
        <v>14.260000000000002</v>
      </c>
      <c r="D19" s="94">
        <v>16</v>
      </c>
    </row>
    <row r="20" spans="1:4">
      <c r="A20" s="94">
        <f>+Scoring!A29</f>
        <v>22</v>
      </c>
      <c r="B20" s="3" t="str">
        <f>+Scoring!B29</f>
        <v>Ind RH2 70% by 2050</v>
      </c>
      <c r="C20" s="120">
        <f>((Scoring!Q29*Scoring!$Q$7+Scoring!R29*Scoring!$R$7+Scoring!S29*Scoring!$S$7)*$C$30)*10</f>
        <v>12.9</v>
      </c>
      <c r="D20" s="94">
        <v>17</v>
      </c>
    </row>
    <row r="21" spans="1:4">
      <c r="A21" s="94">
        <f>+Scoring!A24</f>
        <v>17</v>
      </c>
      <c r="B21" s="3" t="str">
        <f>+Scoring!B24</f>
        <v>Increase Amtrak Ridership</v>
      </c>
      <c r="C21" s="120">
        <f>((Scoring!Q24*Scoring!$Q$7+Scoring!R24*Scoring!$R$7+Scoring!S24*Scoring!$S$7)*$C$30)*10</f>
        <v>12.170000000000002</v>
      </c>
      <c r="D21" s="94">
        <v>18</v>
      </c>
    </row>
    <row r="22" spans="1:4">
      <c r="A22" s="94">
        <f>+Scoring!A31</f>
        <v>24</v>
      </c>
      <c r="B22" s="3" t="str">
        <f>+Scoring!B31</f>
        <v>RH2 Injection 15% by 2035</v>
      </c>
      <c r="C22" s="120">
        <f>((Scoring!Q31*Scoring!$Q$7+Scoring!R31*Scoring!$R$7+Scoring!S31*Scoring!$S$7)*$C$30)*10</f>
        <v>11.500000000000002</v>
      </c>
      <c r="D22" s="94">
        <v>19</v>
      </c>
    </row>
    <row r="23" spans="1:4">
      <c r="A23" s="94">
        <f>+Scoring!A27</f>
        <v>20</v>
      </c>
      <c r="B23" s="3" t="str">
        <f>+Scoring!B27</f>
        <v>Water Systems EE 20% by 2035</v>
      </c>
      <c r="C23" s="120">
        <f>((Scoring!Q27*Scoring!$Q$7+Scoring!R27*Scoring!$R$7+Scoring!S27*Scoring!$S$7)*$C$30)*10</f>
        <v>10.860000000000001</v>
      </c>
      <c r="D23" s="94">
        <v>20</v>
      </c>
    </row>
    <row r="24" spans="1:4">
      <c r="A24" s="94">
        <f>+Scoring!A30</f>
        <v>23</v>
      </c>
      <c r="B24" s="3" t="str">
        <f>+Scoring!B30</f>
        <v>RNG Full Potential by 2050</v>
      </c>
      <c r="C24" s="120">
        <f>((Scoring!Q30*Scoring!$Q$7+Scoring!R30*Scoring!$R$7+Scoring!S30*Scoring!$S$7)*$C$30)*10</f>
        <v>10.810000000000002</v>
      </c>
      <c r="D24" s="94">
        <v>21</v>
      </c>
    </row>
    <row r="25" spans="1:4">
      <c r="A25" s="94">
        <f>+Scoring!A22</f>
        <v>15</v>
      </c>
      <c r="B25" s="3" t="str">
        <f>+Scoring!B22</f>
        <v>10% Mode Shift MD to LD</v>
      </c>
      <c r="C25" s="120">
        <f>((Scoring!Q22*Scoring!$Q$7+Scoring!R22*Scoring!$R$7+Scoring!S22*Scoring!$S$7)*$C$30)*10</f>
        <v>10.770000000000001</v>
      </c>
      <c r="D25" s="94">
        <v>22</v>
      </c>
    </row>
    <row r="26" spans="1:4">
      <c r="A26" s="94">
        <f>+Scoring!A8</f>
        <v>1</v>
      </c>
      <c r="B26" s="3" t="str">
        <f>+Scoring!B8</f>
        <v>Reduced Res Floor Area</v>
      </c>
      <c r="C26" s="120">
        <f>((Scoring!Q8*Scoring!$Q$7+Scoring!R8*Scoring!$R$7+Scoring!S8*Scoring!$S$7)*$C$30)*10</f>
        <v>10.08</v>
      </c>
      <c r="D26" s="94">
        <v>23</v>
      </c>
    </row>
    <row r="27" spans="1:4">
      <c r="A27" s="94">
        <f>+Scoring!A25</f>
        <v>18</v>
      </c>
      <c r="B27" s="3" t="str">
        <f>+Scoring!B25</f>
        <v>Carshare Increases by 2035</v>
      </c>
      <c r="C27" s="120">
        <f>((Scoring!Q25*Scoring!$Q$7+Scoring!R25*Scoring!$R$7+Scoring!S25*Scoring!$S$7)*$C$30)*10</f>
        <v>9.39</v>
      </c>
      <c r="D27" s="94">
        <v>24</v>
      </c>
    </row>
    <row r="28" spans="1:4">
      <c r="A28" s="94">
        <f>+Scoring!A21</f>
        <v>14</v>
      </c>
      <c r="B28" s="3" t="str">
        <f>+Scoring!B21</f>
        <v>MD/HD Zero Emission Plan</v>
      </c>
      <c r="C28" s="120">
        <f>((Scoring!Q21*Scoring!$Q$7+Scoring!R21*Scoring!$R$7+Scoring!S21*Scoring!$S$7)*$C$30)*10</f>
        <v>4.5</v>
      </c>
      <c r="D28" s="94">
        <v>25</v>
      </c>
    </row>
    <row r="30" spans="1:4">
      <c r="B30" s="134" t="s">
        <v>232</v>
      </c>
      <c r="C30" s="139">
        <v>1</v>
      </c>
    </row>
    <row r="36" spans="2:2">
      <c r="B36" s="139" t="s">
        <v>242</v>
      </c>
    </row>
  </sheetData>
  <sortState xmlns:xlrd2="http://schemas.microsoft.com/office/spreadsheetml/2017/richdata2" ref="A4:C28">
    <sortCondition descending="1" ref="C4:C28"/>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Updated Proposal</vt:lpstr>
      <vt:lpstr>Eval Crit List</vt:lpstr>
      <vt:lpstr>List of Actions</vt:lpstr>
      <vt:lpstr>Data</vt:lpstr>
      <vt:lpstr>Scoring</vt:lpstr>
      <vt:lpstr>GHG Reduction Ranking</vt:lpstr>
      <vt:lpstr>C-E Ranking</vt:lpstr>
      <vt:lpstr>Eval Crtiteria Ranking</vt:lpstr>
      <vt:lpstr>Co-Benefits Ranking</vt:lpstr>
      <vt:lpstr>Ranking Comparison</vt:lpstr>
      <vt:lpstr>GHG Reduction Scoring Bin</vt:lpstr>
      <vt:lpstr>Cost-Effectiveness Scoring Bin</vt:lpstr>
      <vt:lpstr>Equity Scoring Bin</vt:lpstr>
      <vt:lpstr>Health Scoring Bin</vt:lpstr>
      <vt:lpstr>Jobs-Econ Prosp Scoring Bin</vt:lpstr>
      <vt:lpstr>Risk &amp; Uncertainty Scoring Bin</vt:lpstr>
      <vt:lpstr>'Updated Proposal'!Print_Area</vt:lpstr>
      <vt:lpstr>'Updated Proposal'!Print_Titles</vt:lpstr>
    </vt:vector>
  </TitlesOfParts>
  <Company>Oregon Department of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 Baker</dc:creator>
  <cp:lastModifiedBy>Alan Zelenka</cp:lastModifiedBy>
  <cp:lastPrinted>2022-11-28T20:51:22Z</cp:lastPrinted>
  <dcterms:created xsi:type="dcterms:W3CDTF">2022-10-24T22:13:31Z</dcterms:created>
  <dcterms:modified xsi:type="dcterms:W3CDTF">2022-12-21T21:11:38Z</dcterms:modified>
</cp:coreProperties>
</file>